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Esportazione Dati 190 - 2013" sheetId="1" r:id="rId1"/>
  </sheets>
  <definedNames/>
  <calcPr fullCalcOnLoad="1"/>
</workbook>
</file>

<file path=xl/sharedStrings.xml><?xml version="1.0" encoding="utf-8"?>
<sst xmlns="http://schemas.openxmlformats.org/spreadsheetml/2006/main" count="14146" uniqueCount="1779">
  <si>
    <t>CIG</t>
  </si>
  <si>
    <t>Codice fiscale struttura proponente</t>
  </si>
  <si>
    <t>Denominazione struttura proponente</t>
  </si>
  <si>
    <t>Gruppo</t>
  </si>
  <si>
    <t>Descrizione lotto</t>
  </si>
  <si>
    <t>Tipologia di gara</t>
  </si>
  <si>
    <t>Partecipante (codice fiscale)</t>
  </si>
  <si>
    <t>Partecipante (identificativo estero)</t>
  </si>
  <si>
    <t>Partecipante (ragione sociale)</t>
  </si>
  <si>
    <t>RTI di appartenenza</t>
  </si>
  <si>
    <t>Tipo membro RTI</t>
  </si>
  <si>
    <t>Aggiudicatario (SI/NO)</t>
  </si>
  <si>
    <t>Importo aggiudicato</t>
  </si>
  <si>
    <t>Azienda USL di Bologna</t>
  </si>
  <si>
    <t>Azienda Ospedaliera Univ. di Bologna</t>
  </si>
  <si>
    <t>Istituto Ortopedico Rizzoli</t>
  </si>
  <si>
    <t>Azienda USL di Imola</t>
  </si>
  <si>
    <t>Azienda USL di Ferrara</t>
  </si>
  <si>
    <t>Azienda Ospedaliera Univ. di Ferrara</t>
  </si>
  <si>
    <t>Azienda USL della Romagna</t>
  </si>
  <si>
    <t>ASP SENECA</t>
  </si>
  <si>
    <t>ASC INSIEME</t>
  </si>
  <si>
    <t>AVEN</t>
  </si>
  <si>
    <t>Azienda Montecatone</t>
  </si>
  <si>
    <t>Azienda USL di Parma</t>
  </si>
  <si>
    <t>Azienda Ospedaliera di Modena</t>
  </si>
  <si>
    <t>Azienda Ospedaliera di Parma</t>
  </si>
  <si>
    <t>Azienda Ospedaliera di Reggio Emilia</t>
  </si>
  <si>
    <t>AUSL di Piacenza</t>
  </si>
  <si>
    <t>AUSL di Cesena</t>
  </si>
  <si>
    <t>Azienda USL di Modena</t>
  </si>
  <si>
    <t>Azienda USL di Reggio Emilia</t>
  </si>
  <si>
    <t>Importo versato</t>
  </si>
  <si>
    <t>Data inizio fornitura</t>
  </si>
  <si>
    <t>Data fine fornitura</t>
  </si>
  <si>
    <t>Data indizione lotto</t>
  </si>
  <si>
    <t>Note</t>
  </si>
  <si>
    <t>SAM - AUSL BO</t>
  </si>
  <si>
    <t>Servizio coordinamento inserzioni su quotidiani dei bandi su GURI</t>
  </si>
  <si>
    <t>26-AFFIDAMENTO DIRETTO IN ADESIONE AD ACCORDO QUADRO/CONVENZIONE</t>
  </si>
  <si>
    <t>Nouvelle S.r.l.</t>
  </si>
  <si>
    <t>SI</t>
  </si>
  <si>
    <t>Acquisto n.5 TAC</t>
  </si>
  <si>
    <t>02-PROCEDURA RISTRETTA</t>
  </si>
  <si>
    <t>Sipar</t>
  </si>
  <si>
    <t>NO</t>
  </si>
  <si>
    <t>GE MEDICAL SYSTEMS ITALIA</t>
  </si>
  <si>
    <t>FORA SPA</t>
  </si>
  <si>
    <t>SIEMENS S.p.A.</t>
  </si>
  <si>
    <t>Philips</t>
  </si>
  <si>
    <t>RTI - Philips - Arco Lavori - Phlips Medical Capita</t>
  </si>
  <si>
    <t>04-CAPOGRUPPO</t>
  </si>
  <si>
    <t>Arco Lavori</t>
  </si>
  <si>
    <t>03-ASSOCIATA</t>
  </si>
  <si>
    <t>PHILIPS  SPA</t>
  </si>
  <si>
    <t>Farmaci AVEC 3</t>
  </si>
  <si>
    <t>ICU MEDICAL ITALIA SRL</t>
  </si>
  <si>
    <t>FAR.G.IM. S.R.L.</t>
  </si>
  <si>
    <t>TEVA ITALIA SRL</t>
  </si>
  <si>
    <t>VALEAS SpA Industria Chimica e Farmaceutica</t>
  </si>
  <si>
    <t>Sandoz Spa</t>
  </si>
  <si>
    <t>Zambon Italia</t>
  </si>
  <si>
    <t>ABBOTT S.r.l.</t>
  </si>
  <si>
    <t>ELI LILLY ITALIA S.p.A.</t>
  </si>
  <si>
    <t>BIOFUTURA PHARMA SPA</t>
  </si>
  <si>
    <t>ACCORD HEALTHCARE ITALIA</t>
  </si>
  <si>
    <t>Astellas Pharma S.p.A.</t>
  </si>
  <si>
    <t>Celgene srl</t>
  </si>
  <si>
    <t>MONICO S.p.A</t>
  </si>
  <si>
    <t>A.C.R.A.F. S.p.A.</t>
  </si>
  <si>
    <t>MUNDIPHARMA PHARMACEUTICALS</t>
  </si>
  <si>
    <t>SUN Pharmaceuticals Italia S.r.l.</t>
  </si>
  <si>
    <t>INNOVA PHARMA S.p.A.</t>
  </si>
  <si>
    <t>Takeda Italia</t>
  </si>
  <si>
    <t>Fresenius Kabi</t>
  </si>
  <si>
    <t>Mylan S.p.a.</t>
  </si>
  <si>
    <t>ASTRAZENECA SPA</t>
  </si>
  <si>
    <t>KRKA Farmaceutici</t>
  </si>
  <si>
    <t>NOVARTIS FARMA S.p.A.</t>
  </si>
  <si>
    <t>Fresenius Medical Care</t>
  </si>
  <si>
    <t>Sanofi-Aventis</t>
  </si>
  <si>
    <t>SIGMA TAU INDUSTRIE FARMACEUTICHE RIUNITE SPA</t>
  </si>
  <si>
    <t>EISAI srl</t>
  </si>
  <si>
    <t>Vaccini vari</t>
  </si>
  <si>
    <t>Janssen-cilag spa</t>
  </si>
  <si>
    <t>Strumentario e accessori vari STORZ per apparecchiature di proprietï¿½</t>
  </si>
  <si>
    <t>04-PROCEDURA NEGOZIATA SENZA PREVIA PUBBLICAZIONE</t>
  </si>
  <si>
    <t>ZACCANTI S.P.A. CON SOCIO UNICO</t>
  </si>
  <si>
    <t>N.1 incubatrice neonatale, n.1 lettino conriscaldamento ?.</t>
  </si>
  <si>
    <t>08-AFFIDAMENTO IN ECONOMIA - COTTIMO FIDUCIARIO</t>
  </si>
  <si>
    <t>Draeger Italia S.p.A.</t>
  </si>
  <si>
    <t>Burke&amp;Burke</t>
  </si>
  <si>
    <t>AHSI S.P.A.</t>
  </si>
  <si>
    <t>ASE SRL</t>
  </si>
  <si>
    <t>C.E.M.  SRL</t>
  </si>
  <si>
    <t>Noleggio fotocopiatrice per farmacia centralizzata</t>
  </si>
  <si>
    <t>Kyocera Document Solution</t>
  </si>
  <si>
    <t>Dispositivi medici per ginecologia, ostetricia e senologia</t>
  </si>
  <si>
    <t>Cook Italia</t>
  </si>
  <si>
    <t>HS - Hospital Service</t>
  </si>
  <si>
    <t>PRAESIDIA SRL</t>
  </si>
  <si>
    <t>RI.MOS. S.r.l.</t>
  </si>
  <si>
    <t>SIM ITALIA S.r.l.</t>
  </si>
  <si>
    <t>Ecotomografo</t>
  </si>
  <si>
    <t>Esaote</t>
  </si>
  <si>
    <t>service per fornitura di sistemi di terapia a pressione negativa per il trattamento di lesioni cutanee complesse</t>
  </si>
  <si>
    <t>01-PROCEDURA APERTA</t>
  </si>
  <si>
    <t>SMITH &amp; NEPHEW SRL</t>
  </si>
  <si>
    <t>EUROSETS SRL</t>
  </si>
  <si>
    <t>Lohmann &amp; Rauscher</t>
  </si>
  <si>
    <t>Service sistema allestimento sacche NP</t>
  </si>
  <si>
    <t>Farmaco LUCENTIS</t>
  </si>
  <si>
    <t>Capsule iodio 131</t>
  </si>
  <si>
    <t>GE HEALTH.CLINICAL SYST.</t>
  </si>
  <si>
    <t>Covidien Italia</t>
  </si>
  <si>
    <t>Miscele nutrizionali per via enterale</t>
  </si>
  <si>
    <t>NUTRICIA ITALIA S.p.A</t>
  </si>
  <si>
    <t>NUTRISENS ITALIA SRL</t>
  </si>
  <si>
    <t>Farmaci deserti AVEC 3</t>
  </si>
  <si>
    <t>Actelion Pharmaceuticals Italia S.r.l.</t>
  </si>
  <si>
    <t>MSD ITALIA SRL</t>
  </si>
  <si>
    <t>Italchimici</t>
  </si>
  <si>
    <t>Pacchetti di riviste e banche dati progetto Network</t>
  </si>
  <si>
    <t>DEA</t>
  </si>
  <si>
    <t>CINECA CONSORZIO INTERUNIVERSITARIO</t>
  </si>
  <si>
    <t>OVID TECHNOLOGIES</t>
  </si>
  <si>
    <t>EBSCO ITALIA SRL</t>
  </si>
  <si>
    <t>GRUPPO WOLTERS KLUWER</t>
  </si>
  <si>
    <t>Reti chirurgiche e patch</t>
  </si>
  <si>
    <t>Bard s.r.l.</t>
  </si>
  <si>
    <t xml:space="preserve">INTEGRAZIONE NUOVO ATTO N. 3073 DELL'8/11/2016 - â‚¬. 108.269,23 - CIG - variante superiore al 20% - 6855169869  </t>
  </si>
  <si>
    <t xml:space="preserve">INTEGRAZIONE NUOVO ATTO N. 3073 DELL'8/11/2016 - â‚¬. 21.057,69 - CIG - variante superiore al 20% - 6811193C36  </t>
  </si>
  <si>
    <t>JOHNSON &amp; JOHNSON MEDICAL S.p.A.</t>
  </si>
  <si>
    <t>Reti chirurgiche e patch lotto 15</t>
  </si>
  <si>
    <t>MV MEDICAL SOLUTIONS S.R.L.</t>
  </si>
  <si>
    <t xml:space="preserve">INTEGRAZIONE NUOVO ATTO N. 3073 DELL'8/11/2016 - â‚¬. 15.576,92 - CIG - variante superiore al 20% - 6855208898  </t>
  </si>
  <si>
    <t>W.L. GORE &amp; ASSOCIATI</t>
  </si>
  <si>
    <t xml:space="preserve">INTEGRAZIONE NUOVO ATTO N. 3073 DELL'8/11/2016 - â‚¬. 23365,38 - CIG - variante superiore al 20% - 6855213CB7  </t>
  </si>
  <si>
    <t>Manutenzione attrezzature radiologiche - ditta Ge Medical Systems</t>
  </si>
  <si>
    <t>Ausili per utenti non vedenti</t>
  </si>
  <si>
    <t>MEDITRON SRL</t>
  </si>
  <si>
    <t>Service sistema disinfezione  sonde transesofagee Tristel</t>
  </si>
  <si>
    <t>prodotti per Pompa Cadd Legacy 1 - ditta Smiths Medical</t>
  </si>
  <si>
    <t>SMITHS MEDICAL ITALIA S.r.l.</t>
  </si>
  <si>
    <t>Prodotti farmaceutici veterinari</t>
  </si>
  <si>
    <t>Sivet</t>
  </si>
  <si>
    <t>PC desktop 5</t>
  </si>
  <si>
    <t>OLIDATA S.P.A</t>
  </si>
  <si>
    <t>Manutenzione autoclavi  ditta CISA</t>
  </si>
  <si>
    <t>CISA SERVICE srl</t>
  </si>
  <si>
    <t>Servizio di assisitenza domiciliare e nutrizione parenterale per i minori B.T. e G.D.P.</t>
  </si>
  <si>
    <t>BAXTER  S.p.A. - DIVISIONE MEDICATION DELIVERY - ROMA</t>
  </si>
  <si>
    <t>Manutenzione attrezzature radiologiche - ditta Ing. Burgatti</t>
  </si>
  <si>
    <t>ING. BURGATTI S.p.A.</t>
  </si>
  <si>
    <t>Coprimicroscopi, coprisonde e guaine - gara Azienda USL di Ferrara</t>
  </si>
  <si>
    <t>Seda</t>
  </si>
  <si>
    <t>ID&amp;CO S.r.l.</t>
  </si>
  <si>
    <t>Biocommerciale s.a.s.</t>
  </si>
  <si>
    <t>Ovimed</t>
  </si>
  <si>
    <t>Dispositivi per 118</t>
  </si>
  <si>
    <t>OSCAR BOSCAROL SRL</t>
  </si>
  <si>
    <t>Compamed</t>
  </si>
  <si>
    <t>EMIMED TECH S.R.L.</t>
  </si>
  <si>
    <t>SAGO MEDICA SRL</t>
  </si>
  <si>
    <t>Spencer Italia S.r.l.</t>
  </si>
  <si>
    <t>Tecnolife</t>
  </si>
  <si>
    <t>TELEFLEX MEDICAL SRL</t>
  </si>
  <si>
    <t>Servizio di interpratariato telefonico da remoto</t>
  </si>
  <si>
    <t>Eurostreet SocietÃ  Cooperativa</t>
  </si>
  <si>
    <t>COLLOQUIA MULTIMEDIA SPA</t>
  </si>
  <si>
    <t>Dispositivi lacune craniche</t>
  </si>
  <si>
    <t>B.BRAUN MILANO SPA</t>
  </si>
  <si>
    <t>LANZONI S.r.l.</t>
  </si>
  <si>
    <t>Neuromed s.r.l.</t>
  </si>
  <si>
    <t>SIAD Healthcare S.p.A.</t>
  </si>
  <si>
    <t>Synthes s.r.l.</t>
  </si>
  <si>
    <t>Tekmed Instruments S.p.A.</t>
  </si>
  <si>
    <t>Almirall S.p.A.</t>
  </si>
  <si>
    <t>AMGEN SRL</t>
  </si>
  <si>
    <t>ITALFARMACO SpA</t>
  </si>
  <si>
    <t>PFIZER ITALIA SRL</t>
  </si>
  <si>
    <t>Apparati tubolari</t>
  </si>
  <si>
    <t>ARIES S.r.l.</t>
  </si>
  <si>
    <t>Ars Chirurgica</t>
  </si>
  <si>
    <t>BENEFIS S.R.L.</t>
  </si>
  <si>
    <t>Cair Italia</t>
  </si>
  <si>
    <t>CareFusion Italy 237 S.r.l. Unipersonale</t>
  </si>
  <si>
    <t>Chemil S.r.l.</t>
  </si>
  <si>
    <t>CO.DI.SAN. S.p.A.</t>
  </si>
  <si>
    <t>Cremascoli &amp; Iris</t>
  </si>
  <si>
    <t>Deltamed</t>
  </si>
  <si>
    <t>D.K.S.  LOVERSAN INDUSTRIA BIOMEDICA SPA</t>
  </si>
  <si>
    <t>EUROSPITAL S.p.A.</t>
  </si>
  <si>
    <t>FERRARI L. DI FERRARI PIETRO S.R.L.</t>
  </si>
  <si>
    <t>I.M.I.</t>
  </si>
  <si>
    <t>Icu Medical Europe SRL</t>
  </si>
  <si>
    <t>MACROPHARM SRL</t>
  </si>
  <si>
    <t>Major S.p.A.</t>
  </si>
  <si>
    <t>MULTIMEDICAL SRL</t>
  </si>
  <si>
    <t>NESTLE ITALIANA SPA</t>
  </si>
  <si>
    <t>Rays S.p.a.</t>
  </si>
  <si>
    <t>SOFAR S.P.A.</t>
  </si>
  <si>
    <t>Terumo BCT Europe N.V. Filiale Italiana</t>
  </si>
  <si>
    <t>Vygon Italia S.r.l.</t>
  </si>
  <si>
    <t>Risoluzione contratto lotto 20 con Ditta Major - subentro ditta Rays - procedura aperta apparati tubolari in plastica</t>
  </si>
  <si>
    <t>N.1 tavolo operatorio e n.1 letto chirrurgico per UO Ostetricia e gin. Osp. Bentivoglio</t>
  </si>
  <si>
    <t>TRUMPF MED ITALIA S.R.L.</t>
  </si>
  <si>
    <t>DI DEDDA S.P.A.</t>
  </si>
  <si>
    <t>OPT SurgiSystems S.r.L.</t>
  </si>
  <si>
    <t>ANALYTICAL control de mori</t>
  </si>
  <si>
    <t>Manutenzione integrazione manut per diagnostiche digitali UUOO Radiologie</t>
  </si>
  <si>
    <t>MECALL</t>
  </si>
  <si>
    <t>Fornitura materiale di consumo per sterilizzatrici "Steris"</t>
  </si>
  <si>
    <t>STERIS</t>
  </si>
  <si>
    <t>Affidamento gestione attivit? abilitative, psico educative, riabilitative ?DSM</t>
  </si>
  <si>
    <t>Cooperativa Sociale Ambra S.c.p.a.</t>
  </si>
  <si>
    <t>AIAS Onlus</t>
  </si>
  <si>
    <t>RTI - Cadiai - AIAS Onlus - C.s.a.p.s.a - Coop. Soc. Libertas</t>
  </si>
  <si>
    <t>C.A.D.I.A.I. Cooperativa Assistenza Domiciliare Infermi Anziani Infanzia Soc. a r.l. Coop. Sociale</t>
  </si>
  <si>
    <t>C.s.a.p.s.a</t>
  </si>
  <si>
    <t>LIBERTAS ASSISTENZA COOPERATIVA SOCIALE</t>
  </si>
  <si>
    <t>ANCORA SERVIZI SOCIETA' COOPERATIVA SOCIALE</t>
  </si>
  <si>
    <t>Universis</t>
  </si>
  <si>
    <t>Seriana 2000</t>
  </si>
  <si>
    <t>Consorzio SolidarietÃ  Sociale</t>
  </si>
  <si>
    <t>Coop. Soc Quadrifoglio</t>
  </si>
  <si>
    <t>Servizi di manutenzione e assistenza HW e SW  AUSL DI BO</t>
  </si>
  <si>
    <t>3M Italia SRL</t>
  </si>
  <si>
    <t>ACANTHO S.P.A.</t>
  </si>
  <si>
    <t>AVELCOWEB SRL</t>
  </si>
  <si>
    <t>Data Processing S.p.A.</t>
  </si>
  <si>
    <t>Dedalus Italia SpA con Socio Unico</t>
  </si>
  <si>
    <t>Delta Informatica</t>
  </si>
  <si>
    <t xml:space="preserve">importo aggiudicato/deliberato â‚¬ 818.749,00; variante comunicata al SITAR di â‚¬ 10.000,00  </t>
  </si>
  <si>
    <t>Servizio di manutenzione RIS</t>
  </si>
  <si>
    <t>EL.CO SRL</t>
  </si>
  <si>
    <t>Engineering Ingegneria Informatica S.p.A.</t>
  </si>
  <si>
    <t>importo aggiudicato/deliberato â‚¬ 377.105,00; varianti comunicate al SITAR  â‚¬ 129.755,00 il 19.12.2013</t>
  </si>
  <si>
    <t>GPI S.p.A.</t>
  </si>
  <si>
    <t>GRUPPO FORMULA SPA</t>
  </si>
  <si>
    <t>Honeywell S.r.l.</t>
  </si>
  <si>
    <t>INFO LINE</t>
  </si>
  <si>
    <t>Laboratori Guglielmo Marconi S.p.A.</t>
  </si>
  <si>
    <t>NOEMALIFE S.P.A.(EX DIANOEMA SPA)</t>
  </si>
  <si>
    <t>NSI Nier Soluzioni Informatiche S.r.l.</t>
  </si>
  <si>
    <t>Oslo Sr.l.</t>
  </si>
  <si>
    <t>SERVIZI INFORMATICI</t>
  </si>
  <si>
    <t>SOFTECH SRL</t>
  </si>
  <si>
    <t>Telecom Italia</t>
  </si>
  <si>
    <t>ASCOM UMS srl unipersonale</t>
  </si>
  <si>
    <t>WINDEX SRL</t>
  </si>
  <si>
    <t>Ecotomografi lotto 3</t>
  </si>
  <si>
    <t>Cateteri a palloncino per PTCA a rilascio Plaxitel</t>
  </si>
  <si>
    <t>BIOTRONIK ITALIA SPA</t>
  </si>
  <si>
    <t>ABBOTT VASCULAR KNOLL RAVIZZA SPA</t>
  </si>
  <si>
    <t>BOSTON SCIENTIFIC S.P.A.</t>
  </si>
  <si>
    <t>H.S.</t>
  </si>
  <si>
    <t>MEDTRONIC ITALIA SPA</t>
  </si>
  <si>
    <t>Fornitura sieri dicontrollo per test NAT di biologia  molecolare per HBV, HCV e HIV</t>
  </si>
  <si>
    <t>A. DE MORI S.P.A.</t>
  </si>
  <si>
    <t>BIO-RAD LABORATORIES SRL</t>
  </si>
  <si>
    <t>Biodev Srl</t>
  </si>
  <si>
    <t>RANDOX LABORATORIES LIMITED</t>
  </si>
  <si>
    <t>D.I.D. DIAGNOSTIC INTERNATIONAL DISTRIBUTION S.p.A.</t>
  </si>
  <si>
    <t>Instrumentation Laboratories Spa</t>
  </si>
  <si>
    <t>Roche Diagnostics SpA</t>
  </si>
  <si>
    <t>Ausili per disabili lotto 4</t>
  </si>
  <si>
    <t>SURACE SPA</t>
  </si>
  <si>
    <t>Abbonamenti a riviste varie, giornali, periodici</t>
  </si>
  <si>
    <t>GRUPPO SOLE 24 ORE</t>
  </si>
  <si>
    <t>ASSINFORM</t>
  </si>
  <si>
    <t>Libr. Giur. Castagnoli</t>
  </si>
  <si>
    <t>GIUFFRE' ED. SPA</t>
  </si>
  <si>
    <t>Maggioli S.P.A.</t>
  </si>
  <si>
    <t>FRANCO ANGELI SRL</t>
  </si>
  <si>
    <t>Progetto Editrice</t>
  </si>
  <si>
    <t>ACSQ CENTRO DOC. GIORNSLISTICA</t>
  </si>
  <si>
    <t>Pragma ed.</t>
  </si>
  <si>
    <t>Editoriale Genesis</t>
  </si>
  <si>
    <t>SIPIS</t>
  </si>
  <si>
    <t>ASSOCIAZIONI AMBIENTE E LAVORO</t>
  </si>
  <si>
    <t>TECNICHE NUOVE SPA</t>
  </si>
  <si>
    <t>TNE</t>
  </si>
  <si>
    <t>Il Mulino</t>
  </si>
  <si>
    <t>PANORAMA SANITA'</t>
  </si>
  <si>
    <t>Il Pensiero Scientifico Editore Srl</t>
  </si>
  <si>
    <t>PROSPETTIVE SOCIALI E SANITARIE</t>
  </si>
  <si>
    <t>GRUPPO ABELE PERIODICI</t>
  </si>
  <si>
    <t>CENTRO STUDI ERICKSON</t>
  </si>
  <si>
    <t>Materiale di consumo per CPAP neonatale "Infant flow"</t>
  </si>
  <si>
    <t>CareFusion Italy 311 S.r.l.</t>
  </si>
  <si>
    <t>Fornitura in leasing di un laser per stimolazione - IRCCS Scienze Neurologiche</t>
  </si>
  <si>
    <t>DEKA M.E.L.A. S.R.L.</t>
  </si>
  <si>
    <t>Farmaco Tardyfer</t>
  </si>
  <si>
    <t>Pierre Fabre Pharma</t>
  </si>
  <si>
    <t>Automezzo</t>
  </si>
  <si>
    <t>Maresca &amp; Fiorentino SpA</t>
  </si>
  <si>
    <t>VIENE INDICATO COME FORNITORE SOLO LA DITTA MARESCA E FIORENTINO IN QUANTO SI TRATTA DI UN'ADESIONE A CONVENZIONE CONSIP</t>
  </si>
  <si>
    <t>Lavoro temporaneo OSS</t>
  </si>
  <si>
    <t>Altro Lavoro</t>
  </si>
  <si>
    <t>AGENZIA PER IL LAVORO ALBA SPA</t>
  </si>
  <si>
    <t>ADHR Group</t>
  </si>
  <si>
    <t>Oasi Lavoro</t>
  </si>
  <si>
    <t>Tempor</t>
  </si>
  <si>
    <t>Temporary</t>
  </si>
  <si>
    <t>OBIETTIVO LAVORO SPA</t>
  </si>
  <si>
    <t>GI GROUP SPA</t>
  </si>
  <si>
    <t>ORIENTA S.P.A.</t>
  </si>
  <si>
    <t>Adecco Italia</t>
  </si>
  <si>
    <t>Abbonamenti vari a riviste</t>
  </si>
  <si>
    <t>Elsevier</t>
  </si>
  <si>
    <t>Sage</t>
  </si>
  <si>
    <t>Manutenzione per sistemi diagnostica per immagine ad alta tecnologia - Philips</t>
  </si>
  <si>
    <t>Stampanti e toner</t>
  </si>
  <si>
    <t>KYOCERA Document Solution Italia spa</t>
  </si>
  <si>
    <t>Defibrillatori semiautomatici esterni per le Aziende Sanitarie della Regione</t>
  </si>
  <si>
    <t>IREDEEM SRL</t>
  </si>
  <si>
    <t>Protesi craniche "Custom made"</t>
  </si>
  <si>
    <t>B.P.R.</t>
  </si>
  <si>
    <t>N.5 ureteronefroscopi flessibili</t>
  </si>
  <si>
    <t>Zaccanti Spa</t>
  </si>
  <si>
    <t>PENTAX Italia srl</t>
  </si>
  <si>
    <t>C.B. MEDICAL S.r.l.</t>
  </si>
  <si>
    <t>Apparecchi ortodontici</t>
  </si>
  <si>
    <t>Chriorth di Tranchina Massimiliano e Lenzarini Andrea snc</t>
  </si>
  <si>
    <t>Service Emogasanalizzatore e materiali di consumo per Neonatologia e Pneumologia</t>
  </si>
  <si>
    <t>A.DE MORI S.P.A.</t>
  </si>
  <si>
    <t>Dispositivi di infusione per terapia ferrochelante</t>
  </si>
  <si>
    <t>CANE' S.p.A. - SOCIO UNICO</t>
  </si>
  <si>
    <t>Materiale di consumo per Apparecchi per sterilizzazione a gas plasma Sterrad 50 r 100</t>
  </si>
  <si>
    <t>Assegnazione a 2? aggiudicatario lotto 20 P.A.83/2011 "Dispositivi per Endoscopia digestiva"</t>
  </si>
  <si>
    <t>AORTA SRL</t>
  </si>
  <si>
    <t>Laringoscopi ottici monouso tipo Airtraq</t>
  </si>
  <si>
    <t>Ambu S.r.l.</t>
  </si>
  <si>
    <t>AMPLIFON S.p.A.</t>
  </si>
  <si>
    <t>ARTSANA S.p.A.</t>
  </si>
  <si>
    <t>ASCOM S.r.l.</t>
  </si>
  <si>
    <t>Comesa Medical Equipments S.r.l.</t>
  </si>
  <si>
    <t>F.A.S.E. S.R.L.</t>
  </si>
  <si>
    <t>Fornitura di n.1 centrale di monitoraggio e n.1 sistema telemetrico</t>
  </si>
  <si>
    <t>Meditron</t>
  </si>
  <si>
    <t>Fornitura di frese e altro materiale Stryker</t>
  </si>
  <si>
    <t>Stryker</t>
  </si>
  <si>
    <t>Prodotti dietetici, stomi, materiale di consumo per microinfusori</t>
  </si>
  <si>
    <t>ConvaTec Italia Srl</t>
  </si>
  <si>
    <t>Coloplast spa</t>
  </si>
  <si>
    <t>D.M.F. S.r.l. - Dietetic Metabolic Food</t>
  </si>
  <si>
    <t>Gallini</t>
  </si>
  <si>
    <t>Hollister S.p.A.</t>
  </si>
  <si>
    <t>NUTRICIA S.p.A.</t>
  </si>
  <si>
    <t>PIAM FARMACEUTICI S.P.A</t>
  </si>
  <si>
    <t>ROCHE S.p.A. - SocietÃ  unipersonale</t>
  </si>
  <si>
    <t>Fornitura di prestazioni di lavoro temporaneo per personale infermieristico</t>
  </si>
  <si>
    <t>22-PROCEDURA NEGOZIATA CON PREVIA INDIZIONE DI GARA (SETTORI SPECIALI)</t>
  </si>
  <si>
    <t>Servizio di derattizzazione, disinfestazione compresi gli interventi contro zanzare tigri</t>
  </si>
  <si>
    <t>biblion srl</t>
  </si>
  <si>
    <t>Ausili per disabili lotto 5</t>
  </si>
  <si>
    <t>VASSILLI SRL</t>
  </si>
  <si>
    <t>Colla chirurgica Bio Glue</t>
  </si>
  <si>
    <t>LEVI BIOTECH SRL</t>
  </si>
  <si>
    <t>Sale da depurazione</t>
  </si>
  <si>
    <t>Culligan Italiana S.p.A.</t>
  </si>
  <si>
    <t>Cantel Medical (Italy) S.r.l. a socio unico</t>
  </si>
  <si>
    <t>Imed S.rl.</t>
  </si>
  <si>
    <t>ISAD SALI</t>
  </si>
  <si>
    <t>ITALKALI S.p.A.</t>
  </si>
  <si>
    <t>MOP srl</t>
  </si>
  <si>
    <t>Nanni S.a.s.</t>
  </si>
  <si>
    <t>SA-MA</t>
  </si>
  <si>
    <t>Service sistemi di compressione sequenziale con relativi gambali</t>
  </si>
  <si>
    <t>Somatropina 2</t>
  </si>
  <si>
    <t>IPSEN S.P.A.</t>
  </si>
  <si>
    <t>Test diagnosi sensibilizzazione Tubercolare</t>
  </si>
  <si>
    <t>Sanofi Pasteur MSD S.p.A.</t>
  </si>
  <si>
    <t>Service distemi diagnostici per esame urine</t>
  </si>
  <si>
    <t>A. MENARINI DIAGNOSTICS SRL</t>
  </si>
  <si>
    <t>Sistema vertebrale K2M</t>
  </si>
  <si>
    <t>K2M SOLUTIONS ITALY SRL</t>
  </si>
  <si>
    <t>Pubblicazione numeri telefonici aziende negli elenchi SEAT</t>
  </si>
  <si>
    <t>Italiaonline (ex SEAT)</t>
  </si>
  <si>
    <t>L'importo aggiudicato si riferisce alla sola AUSLBO
L'importo pagato si riferisce alle Aziende sanitarie del SAM (AUSLBO-AOUBO-IOR) in quanto la fatturazione da parte della Ditta e il relativo pagamento avviene tutto da parte dell'AUSLBO che poi emette fatture alle altre Azienda sanitarie (AOUBO e IOR) che provvederanno alla restituzione di quanto di loro competenza.</t>
  </si>
  <si>
    <t>Protesi Mammarie ed espansori</t>
  </si>
  <si>
    <t>Allergan S.p.A.</t>
  </si>
  <si>
    <t>Integrazione con det. 3323 del 06/11/2017
per â‚¬ 67.307,69 totale importo â‚¬ 379.953,69
preso CIG per variante superiore al 20% dell'importo contrattuale</t>
  </si>
  <si>
    <t>Defibrillatori impiantabili e relativi elettrocateteri</t>
  </si>
  <si>
    <t>BIOTRONIK SEDA SPA</t>
  </si>
  <si>
    <t>Abbott Medical Italia srl</t>
  </si>
  <si>
    <t>Assistenza tecnica per Diagnostica RM prodoota da Philips</t>
  </si>
  <si>
    <t>Materiale di consumo per apparecchiatura Mammotome</t>
  </si>
  <si>
    <t xml:space="preserve">DEVICOR MEDICAL ITALY S.R.L. </t>
  </si>
  <si>
    <t>Materiale di consumo per IVUS</t>
  </si>
  <si>
    <t>Noleggio fotocopiatrici</t>
  </si>
  <si>
    <t>Recepimento del rinnovo contrattuale per la fornitura di carta per apparecchiature elettromedicali  compatibile ed originale per le esigenze delle Aziende Sanitarie  dell'AVEC</t>
  </si>
  <si>
    <t>CERACARTA S.P.A.</t>
  </si>
  <si>
    <t>RTI - Ceracarta SP - Pirrone SP</t>
  </si>
  <si>
    <t>Pirrone SPA</t>
  </si>
  <si>
    <t>Autoclave passante</t>
  </si>
  <si>
    <t>Registratori impiantabili Reval DX e XT</t>
  </si>
  <si>
    <t>Medstep S.r.l.</t>
  </si>
  <si>
    <t>N.2 kit Procleix West Nile Virus per campagna vaccianle 2013 - Centro trasfusionale</t>
  </si>
  <si>
    <t>Glaxosmithkline Vaccines srl</t>
  </si>
  <si>
    <t>Farmaci fuori prontuario, da banco, dietetici e parafarmaci urgenti</t>
  </si>
  <si>
    <t>AFM  S.P.A.</t>
  </si>
  <si>
    <t>Ecotomografi lotti 5 e 8</t>
  </si>
  <si>
    <t>Servizi Informatici per gestione centrali operative 118 Emila Romagna</t>
  </si>
  <si>
    <t>Processatore per inclusione tessuti</t>
  </si>
  <si>
    <t>BIO-OPTICA MILANO SPA</t>
  </si>
  <si>
    <t>Italscientifica SpA</t>
  </si>
  <si>
    <t>DIAPATH S.p.A.</t>
  </si>
  <si>
    <t>LEICA MICROSYSTEMS SRL</t>
  </si>
  <si>
    <t>KALTEK SRL</t>
  </si>
  <si>
    <t>Materiale di consumo per aspiratori</t>
  </si>
  <si>
    <t>Noleggio automezzi senza conducente</t>
  </si>
  <si>
    <t>CAR SERVER SPA</t>
  </si>
  <si>
    <t>Sistema analitico per dosaggio emoglobina glicata</t>
  </si>
  <si>
    <t>Prestazioni prescrizioni esercizio fisico Medicina dello Sport</t>
  </si>
  <si>
    <t>Cooperativa Sociale SocietÃ  Dolce</t>
  </si>
  <si>
    <t>IDA POLI SOC.COOP.SOCIALE</t>
  </si>
  <si>
    <t>Farmaci Avonex e Tysabri</t>
  </si>
  <si>
    <t>BIOGEN ITALIA SRL</t>
  </si>
  <si>
    <t>Service sistemi rotablazione coronarica</t>
  </si>
  <si>
    <t>CARDIOSCIENCE SRL</t>
  </si>
  <si>
    <t>Ghiaccio secco</t>
  </si>
  <si>
    <t>Air liquide S.p.A.</t>
  </si>
  <si>
    <t>Dryce S.r.l.</t>
  </si>
  <si>
    <t>Gas Tecnici Bologna S.r.l.</t>
  </si>
  <si>
    <t>Ghelfi</t>
  </si>
  <si>
    <t>Linde Medicale S.r.l.</t>
  </si>
  <si>
    <t>Sistema per simulazione virtuale - Radioterapia</t>
  </si>
  <si>
    <t>Elekta S.p.A.</t>
  </si>
  <si>
    <t>Cabina audiometrica, audiometro integrato, sistema per potenziali evocati, impedenzometro</t>
  </si>
  <si>
    <t>a circle spa</t>
  </si>
  <si>
    <t>ATMOS MEDIZINTECHNIK ITALIA Srl</t>
  </si>
  <si>
    <t>BIOLITEC ITALIA SRL</t>
  </si>
  <si>
    <t>CARL ZEISS SPA CON SOCIO UNICO</t>
  </si>
  <si>
    <t>CONMED ITALIA</t>
  </si>
  <si>
    <t>Service sistema diagnostici per analisi elettroforetiche</t>
  </si>
  <si>
    <t>Medical Systems</t>
  </si>
  <si>
    <t>Sebia Italia srl</t>
  </si>
  <si>
    <t>Pedaggio autostradale e telepass</t>
  </si>
  <si>
    <t>Autostrade per l'Italia</t>
  </si>
  <si>
    <t>Telepass Spa</t>
  </si>
  <si>
    <t>Sistemi protesici di ginocchio</t>
  </si>
  <si>
    <t>ZIMMER BIOMET ITALIA Srl</t>
  </si>
  <si>
    <t>Dispositivi medici per esecuzione procedure interventistiche Neuroradiologia</t>
  </si>
  <si>
    <t>MED-ITALIA BIOMEDICA S.r.l.</t>
  </si>
  <si>
    <t>RTI - Medi Italia Biomedica - AB Medica Spa</t>
  </si>
  <si>
    <t>AB Medica Spa</t>
  </si>
  <si>
    <t>Vexim Italia</t>
  </si>
  <si>
    <t>Fornitura frese dedicate a trapani Anspach di propriet?</t>
  </si>
  <si>
    <t>Servizio assistenza tecnica per Diagnostica telecomandata Phi?ps installata presso Radiologia Osp. Bellaria</t>
  </si>
  <si>
    <t>Servizio gestione in via sperimentale di un gruppo appartamento per disabili adulti</t>
  </si>
  <si>
    <t>Coopas Coop AttivitÃ  Soc</t>
  </si>
  <si>
    <t>Gulliver Coop Soc</t>
  </si>
  <si>
    <t>Servizi informatici per sviluppo progetto srivania virtuale</t>
  </si>
  <si>
    <t>Next s..r.l.</t>
  </si>
  <si>
    <t>importo aggiudicato/deliberato â‚¬ 91.140,00; variente comunicata aÃ¬l SITAR â‚¬ 18.228,00 il 27.11.2013</t>
  </si>
  <si>
    <t>Test di attivazione Basofili per Lab. Analisi</t>
  </si>
  <si>
    <t>BUHLMANN Italia S.r.l.</t>
  </si>
  <si>
    <t>Fornitura in service, di un sistema per il metabolismo osseo</t>
  </si>
  <si>
    <t>Pantec S.r.l.</t>
  </si>
  <si>
    <t>DIASORIN SPA</t>
  </si>
  <si>
    <t>SIEMENS HEALTHCARE S.R.L.</t>
  </si>
  <si>
    <t>Acquisto farmaco anticoagulante Pradaxa</t>
  </si>
  <si>
    <t>BOEHRINGER INGELHEIM ITALIA s.p.a.</t>
  </si>
  <si>
    <t>Service diagnostici per la determinazione in nefelometria delle proteine specifiche</t>
  </si>
  <si>
    <t>Beckman Coulter S.r.l.</t>
  </si>
  <si>
    <t>RTI - Beckman Coulter - The Binding Site srl</t>
  </si>
  <si>
    <t>The Binding Site srl</t>
  </si>
  <si>
    <t>Acquisto di n.16 kit "Procleix West Nile Virus" per campagna vaccinale 2012 per Centro Trasfusionale</t>
  </si>
  <si>
    <t>Ausili per incontinenza- consegna domiciliare</t>
  </si>
  <si>
    <t>SERENITY S.p.A.</t>
  </si>
  <si>
    <t>Fornitura annuale materiale di consumo e service per elettrobisturi Lagasure e Forcetriad</t>
  </si>
  <si>
    <t>Fornitura di n. 3 portatili per grafia</t>
  </si>
  <si>
    <t>Arpa Srl</t>
  </si>
  <si>
    <t>Carestream Health Italia Srl</t>
  </si>
  <si>
    <t>Servizio noleggio di n.1 sistema di stampa a colori e stazione di lavoro per Centro Stampa</t>
  </si>
  <si>
    <t>E Servizi Spa</t>
  </si>
  <si>
    <t>T.T.T.TECNOSISTEMI</t>
  </si>
  <si>
    <t>Xerox SpA</t>
  </si>
  <si>
    <t>A.M.G. System</t>
  </si>
  <si>
    <t>Service di nutrizione enterale domiciliare mediante adesione a convenzione stipulata dall'Agenzia regionale Intercent</t>
  </si>
  <si>
    <t>SAPIO LIFE S.R.L.</t>
  </si>
  <si>
    <t>Acquisto di farmaci aggiudicati con gare intercent-er</t>
  </si>
  <si>
    <t>TAKEDA ITALIA S.P.A.</t>
  </si>
  <si>
    <t>Acquisizione servizi di sviluppo e modifiche sistema software "Garsia"</t>
  </si>
  <si>
    <t>Fornitura di sistemi di recupero sangue postoperatorio</t>
  </si>
  <si>
    <t>Pollution hospital S.r.l.</t>
  </si>
  <si>
    <t>HAEMONETICS ITALIA srl</t>
  </si>
  <si>
    <t>Redax S.p.a.</t>
  </si>
  <si>
    <t>Sorin Group Italia s.r.l.</t>
  </si>
  <si>
    <t>DENTSPLY IH S.r.l.</t>
  </si>
  <si>
    <t>Dial Alta Tecnologia Medica</t>
  </si>
  <si>
    <t>Acquisto del farmaco Zelboraf</t>
  </si>
  <si>
    <t>Acquisto di stimolatori cardiaci ed elettrocateteri (lotti 1-2-5-11-17)</t>
  </si>
  <si>
    <t>Fornitura di n.7 letti a bilancia per centro dialisi</t>
  </si>
  <si>
    <t>TASSINARI BILANCE</t>
  </si>
  <si>
    <t>Gardhen "bilance" S.r.l.</t>
  </si>
  <si>
    <t>Wunder SABI</t>
  </si>
  <si>
    <t>Acquisto del farmaco esclusivo VYNDAQEL</t>
  </si>
  <si>
    <t>Acquisto del farmaco HIZENTRA</t>
  </si>
  <si>
    <t>CSL Behring S.p.A.</t>
  </si>
  <si>
    <t>Fornitura di un'automedica</t>
  </si>
  <si>
    <t>Vision Ambulanze S.r.l.</t>
  </si>
  <si>
    <t>AMBITALIA SPA</t>
  </si>
  <si>
    <t>ARICAR</t>
  </si>
  <si>
    <t>MARIANI ALFREDO E FIGLIO SNC - MAF</t>
  </si>
  <si>
    <t>Mariani F.lli srl</t>
  </si>
  <si>
    <t>Riscatto di n.2 automezzi attrezzati per il trasporto disabili Distretto Cittï¿½ di Bologna</t>
  </si>
  <si>
    <t>Centro Leasing Banca di Firenze</t>
  </si>
  <si>
    <t>Ulteriori acquisti di farmaci</t>
  </si>
  <si>
    <t>Acquisto di stampanti laser, cassetti aggiuntivi alimentazione carta, PC, Monitor</t>
  </si>
  <si>
    <t>OLIDATA S.P.A.</t>
  </si>
  <si>
    <t>Acquisto di n.1 ambulanza di soccorso di tipo "A"</t>
  </si>
  <si>
    <t>Sancar</t>
  </si>
  <si>
    <t>Acquisto urgente di n.1 Ecotomografo</t>
  </si>
  <si>
    <t>ESAOTE S.p.A.</t>
  </si>
  <si>
    <t>Farmaci</t>
  </si>
  <si>
    <t>Farmaci esteri non registrati in Italia</t>
  </si>
  <si>
    <t>INTER FARMACI ITALIA S.R.L.</t>
  </si>
  <si>
    <t>Stimolatori cardiaci ed elettrocateteri</t>
  </si>
  <si>
    <t>Postazioni operative per Sala Emergenza Centrale Operative 118</t>
  </si>
  <si>
    <t>Nitz engineering S.r.l.</t>
  </si>
  <si>
    <t>Rinnovo servizio dosimetria</t>
  </si>
  <si>
    <t>TECNO RAD S.R.L.</t>
  </si>
  <si>
    <t>Contratto prorogato nelle more Procedura Ristretta per l'affidamento del servizio di dosimetria individuale ed ambientale per il personale esposto a rischio di radiazioni ionizzanti per le aziende sanitarie dell'AVEC. Capofila Azienda Osp.Univ.Ferrara, bando di gara pubblicato su GUCE il 15/4/2016.
Determina n. 3481 del 15/12/2016 per il periodo di proroga dal 15/12/2016-30/06/2017 -  Assunto CIG 690982257F</t>
  </si>
  <si>
    <t>Fornitura di termometri analogici senza mercurio</t>
  </si>
  <si>
    <t>Fornitura di stimolatori cardiaci ed elettrocateteri</t>
  </si>
  <si>
    <t>Preparati galenici e materie prime</t>
  </si>
  <si>
    <t>AF United SpA</t>
  </si>
  <si>
    <t>AIESI HOSPITAL SERVICE S.A.S.</t>
  </si>
  <si>
    <t>Industria Farmaceutica NOVA ARGENTIA S.p.A.</t>
  </si>
  <si>
    <t>OlcelliFarmaceutici S.r.l.</t>
  </si>
  <si>
    <t>Riscatto RIS</t>
  </si>
  <si>
    <t>Vaccini antinfluenzali 2013-2014</t>
  </si>
  <si>
    <t>Sanofi Pasteur MSD</t>
  </si>
  <si>
    <t>Janssen-Cilag</t>
  </si>
  <si>
    <t>Mezzi di sintesi ossea</t>
  </si>
  <si>
    <t>Biomet Merck S.r.l.</t>
  </si>
  <si>
    <t>Citieffe S.r.l.</t>
  </si>
  <si>
    <t>Clinika S.r.l.</t>
  </si>
  <si>
    <t>DIMCO S.P.A.</t>
  </si>
  <si>
    <t>INTRAUMA SRL</t>
  </si>
  <si>
    <t>MIKAI S.p.A.</t>
  </si>
  <si>
    <t>NOVAGENIT SRL</t>
  </si>
  <si>
    <t>ORTHOFIX SRL</t>
  </si>
  <si>
    <t>STRYKER ITALIA SRL</t>
  </si>
  <si>
    <t>Acquisizione in proprieta' attrezzature e contestuale affidamento contratto di manutenzione PACS</t>
  </si>
  <si>
    <t>Farmaco esclusivo Xarelto</t>
  </si>
  <si>
    <t>BAYER S.p.A.</t>
  </si>
  <si>
    <t>UCB PHARMA S.P.A.</t>
  </si>
  <si>
    <t>Istituto Lusofarmaco D'Italia</t>
  </si>
  <si>
    <t>Lame e manici per laringoscopi</t>
  </si>
  <si>
    <t>risoluzione contratto con atto 663/2014</t>
  </si>
  <si>
    <t>AGISAN S.A.S. DI ALBERTO BIAGI &amp; C.</t>
  </si>
  <si>
    <t>ALEA DI DADONE SILVIO E C. S.A.S.</t>
  </si>
  <si>
    <t>BIDOIA S.A.S. di Gianfranco Bidoia &amp; C.</t>
  </si>
  <si>
    <t>Biomedical Service srl</t>
  </si>
  <si>
    <t>CAM Hospital srl</t>
  </si>
  <si>
    <t>CENTRO FORNITURE SANITARIE SRL</t>
  </si>
  <si>
    <t>DEAS</t>
  </si>
  <si>
    <t>E. Janach s.r.l.</t>
  </si>
  <si>
    <t>Fiomed s.r.l.</t>
  </si>
  <si>
    <t>GRIFOLS ITALIA S.p.A.</t>
  </si>
  <si>
    <t>KERNA ITALIA SRL</t>
  </si>
  <si>
    <t>Kymed Italia srl</t>
  </si>
  <si>
    <t>LAMONEA SRL</t>
  </si>
  <si>
    <t>LP ITALIANA SPA</t>
  </si>
  <si>
    <t>Medival S.r.l.</t>
  </si>
  <si>
    <t>Medvet srl</t>
  </si>
  <si>
    <t>MOVI S.P.A.</t>
  </si>
  <si>
    <t>PHARMA EEC s.r.l.</t>
  </si>
  <si>
    <t>Risoluzione contratto con atto 663/2014 - Messo importo aggiudicato uguale al pagato per quanto giÃ  ordinato prima della risoluzione</t>
  </si>
  <si>
    <t>Fornitura di Endoprotesi coronariche 2</t>
  </si>
  <si>
    <t>Farmaci esclusivi</t>
  </si>
  <si>
    <t>Shire Italia Spa</t>
  </si>
  <si>
    <t>Farmaco esclusivo Colfinair</t>
  </si>
  <si>
    <t>Neupharma Srl</t>
  </si>
  <si>
    <t>Articoli di protezione anti X</t>
  </si>
  <si>
    <t>Agsa Gomma srl</t>
  </si>
  <si>
    <t>Proroga contratto nelle more RDO in corso, determina 3481 del 15/12/2016, assunto CIG 6909779204, periodo 15/12/2016-30/06/2017</t>
  </si>
  <si>
    <t>Cablas Srl</t>
  </si>
  <si>
    <t>CLINI-LAB S.R.L.</t>
  </si>
  <si>
    <t>Dear Composites Srl</t>
  </si>
  <si>
    <t>DELTA MED S.p.A.</t>
  </si>
  <si>
    <t>El.Se srl</t>
  </si>
  <si>
    <t>EUROPROTEX RADIOPROTEZIONE S.r.l.</t>
  </si>
  <si>
    <t>GI.MI. MEDICAL SRL</t>
  </si>
  <si>
    <t>PERFORMANCE HOSPITAL S.R.L.</t>
  </si>
  <si>
    <t>Phoenix Rx Srl</t>
  </si>
  <si>
    <t>Radioprotex Srl</t>
  </si>
  <si>
    <t xml:space="preserve"> SAVIR di Longhi Sergio &amp; C SAS.</t>
  </si>
  <si>
    <t>Proroga nelle more RDO in corso, determina 3481 del 15/12/2016, assunto CIG 6909596AFD, periodo 15/12/2016-30/6/2017</t>
  </si>
  <si>
    <t>Proroga nelle more RDO in corso, determina 3481 del 15/12/2016, assunto CIG 6909107775, periodo 15/12/2016-30/6/2017</t>
  </si>
  <si>
    <t>Segnaletica</t>
  </si>
  <si>
    <t>IKON Segnali S.r.l.</t>
  </si>
  <si>
    <t>Servizio Rassegna Stampa</t>
  </si>
  <si>
    <t>L'Eco della Stampa Spa</t>
  </si>
  <si>
    <t>Sistema completo per biopsia stereotassica mammaria Encor</t>
  </si>
  <si>
    <t>Dispositivi per allattamento</t>
  </si>
  <si>
    <t>HUMANA ITALIA S.p.A.</t>
  </si>
  <si>
    <t>MEDELA ITALIA SRL</t>
  </si>
  <si>
    <t>Labor Baby</t>
  </si>
  <si>
    <t>CODAN s.r.l.</t>
  </si>
  <si>
    <t>SIEM NOVA SRL</t>
  </si>
  <si>
    <t>I.M. Medical srl</t>
  </si>
  <si>
    <t>Arredi Lotto 1</t>
  </si>
  <si>
    <t>Linet Italia S.r.l. unipersonale</t>
  </si>
  <si>
    <t>n.310 saturimetri portatili palmari</t>
  </si>
  <si>
    <t>DRAEGER SAFETY ITALIA SPA</t>
  </si>
  <si>
    <t>MINDRAY MEDICAL ITALY S.R.L.</t>
  </si>
  <si>
    <t>Fornitura di n.1 sistema poligrafico per UOC Clinica Neurologica</t>
  </si>
  <si>
    <t>SPARK SRL</t>
  </si>
  <si>
    <t>Farmaco esclusivo Hizentra</t>
  </si>
  <si>
    <t>Adesione convenzione per Prodotti cartari, detergenti e materiale per comunit? 2</t>
  </si>
  <si>
    <t>PAREDES ITALIA</t>
  </si>
  <si>
    <t>ITALCHIM SRL</t>
  </si>
  <si>
    <t>Adesione convenzione per Lancette pungidito, strisce rattive e sistemi diagnostici per glicemia- ambito ospedaliero</t>
  </si>
  <si>
    <t>Adesione a Convenzione Automezzi</t>
  </si>
  <si>
    <t>Fornitura di Combo kit per microinfusori Animas  di propriet?</t>
  </si>
  <si>
    <t>Centralina per inclusione</t>
  </si>
  <si>
    <t>Histo-Line Laboratories S.r.L.</t>
  </si>
  <si>
    <t>Noleggio stampanti</t>
  </si>
  <si>
    <t>GM2 di Morisi Antonio &amp; C.</t>
  </si>
  <si>
    <t>Bordignon Office Srl</t>
  </si>
  <si>
    <t>ELMEC INFORMATICA SpA</t>
  </si>
  <si>
    <t>LARA SERVICE</t>
  </si>
  <si>
    <t>Sedoc S.r.l.</t>
  </si>
  <si>
    <t>Vicsam Sistemi Srl</t>
  </si>
  <si>
    <t>Ufficio Italia Engineering</t>
  </si>
  <si>
    <t>Vaccino Vaxigrip</t>
  </si>
  <si>
    <t>MERCK SERONO SpA</t>
  </si>
  <si>
    <t>Fornitura di n.1 microscopio miniaturizzato/videoendoscopio 3D-HD</t>
  </si>
  <si>
    <t>Fornitura di stimolatori midollari, cerebrali, vascolari e vagali</t>
  </si>
  <si>
    <t>Cormed Cardiovascolare S.r.l.</t>
  </si>
  <si>
    <t>Sistemi analitici pr FOBT 2</t>
  </si>
  <si>
    <t>MEDICAL SYSTEMS S.P.A.</t>
  </si>
  <si>
    <t>Service di sistemi completi per il recupero sangue intraoperatorio</t>
  </si>
  <si>
    <t>FRESENIUS KABI ITALIA SRL CON UNICO SOCIO</t>
  </si>
  <si>
    <t>Fornitura biennale di protesi mammarie</t>
  </si>
  <si>
    <t>C.O.d.E.R.-Consorzio Ortopedico dell'Emilia Romagna</t>
  </si>
  <si>
    <t>Manutenzione Lavadapelle</t>
  </si>
  <si>
    <t>ARJO ITALIA SPA</t>
  </si>
  <si>
    <t>Ulteriore acquisto di farmaci esclusivi della ditta Janssen Cilag</t>
  </si>
  <si>
    <t>Endoprotesi iaddominali e toraciche</t>
  </si>
  <si>
    <t>COOK ITALIA</t>
  </si>
  <si>
    <t>Serom</t>
  </si>
  <si>
    <t>Adesione a convenzione Consip per PC desktop e monito</t>
  </si>
  <si>
    <t>ABBVIE S.r.l.</t>
  </si>
  <si>
    <t>Fornitura di materiale implantologico per UO Odontoiatria</t>
  </si>
  <si>
    <t>NOBEL BIOCARE ITALIANA S.R.L.</t>
  </si>
  <si>
    <t>Attivazine di convenzioni con esercizi per la somministrazione di pasti agli operatori cantiere VAV</t>
  </si>
  <si>
    <t>La Loggia di Pian del Voglio</t>
  </si>
  <si>
    <t>Il Drago Verde di Pian del Voglio</t>
  </si>
  <si>
    <t>Il Ronco</t>
  </si>
  <si>
    <t>L'Oasi di Sasso marconi</t>
  </si>
  <si>
    <t>S. Benedetto v.d.Sambro Scarl</t>
  </si>
  <si>
    <t>Ciano Trading &amp; Services</t>
  </si>
  <si>
    <t>Abbonamento ai servizi ANSA</t>
  </si>
  <si>
    <t>AGENZIA ANSA</t>
  </si>
  <si>
    <t>Frigoriferi e congelatori da Laboratorio</t>
  </si>
  <si>
    <t>CF DI CIRO FIOCCHETTI &amp; C. SNC</t>
  </si>
  <si>
    <t>LABOINDUSTRIA S.p.A.</t>
  </si>
  <si>
    <t>Angelantoni Life Science</t>
  </si>
  <si>
    <t>KW APPARECCHI SCIENTIFICI SRL</t>
  </si>
  <si>
    <t>M.G. Lorenzatto S.r.l.</t>
  </si>
  <si>
    <t>Acquisizione "Programmi VEQ" per necessit? Laboratori Analisi</t>
  </si>
  <si>
    <t>Oneworld Accuracy Italia Srl</t>
  </si>
  <si>
    <t>Servizio pulizie struttura Pianura Est a Coop. Tipo B</t>
  </si>
  <si>
    <t>SIC CONSORZIO DI INIZIATIVE SOCIALI Cooperativa Sociale</t>
  </si>
  <si>
    <t>Adesione a convenzione Agenzia regionale Intercent per farmaci esclusivi</t>
  </si>
  <si>
    <t>Abiogen Pharma Spa</t>
  </si>
  <si>
    <t>Actavis Italy S.P.A. A Socio Unico</t>
  </si>
  <si>
    <t>Actelion Pharmaceuticals Italia Srl</t>
  </si>
  <si>
    <t>Alcon Italia S.p.A.</t>
  </si>
  <si>
    <t>INDUSTRIA TERAPEUTICA SPLENDORE ALFA INTES</t>
  </si>
  <si>
    <t>Alfa Wassermann</t>
  </si>
  <si>
    <t>Allergan Spa</t>
  </si>
  <si>
    <t>Astellas Pharma</t>
  </si>
  <si>
    <t>Aziende Chimiche Riunite Angelini Francesco</t>
  </si>
  <si>
    <t>Baxter</t>
  </si>
  <si>
    <t>Bristol-Myers Squibb</t>
  </si>
  <si>
    <t>BRUNO FARMACEUTICI SPA</t>
  </si>
  <si>
    <t>CHIESI FARMACEUTICI</t>
  </si>
  <si>
    <t>CODIFI - CONSORZIO STABILE PER LA DISTRIBUZIONE SRL</t>
  </si>
  <si>
    <t>ESSEX ITALIA S.p.A.</t>
  </si>
  <si>
    <t>Farmaceutici Caber</t>
  </si>
  <si>
    <t>Farmigea</t>
  </si>
  <si>
    <t>FERRING S.p.A.</t>
  </si>
  <si>
    <t>Fisiopharma</t>
  </si>
  <si>
    <t>GILEAD SCIENCES</t>
  </si>
  <si>
    <t>GLAXOSMITHKLINE S.P.A.</t>
  </si>
  <si>
    <t>GrÃ¼nenthal Italia S.r.l.</t>
  </si>
  <si>
    <t>GUERBET SPA</t>
  </si>
  <si>
    <t>Helathcare at Home Ltd</t>
  </si>
  <si>
    <t>HRA PHARMA ITALIA S.r.l.</t>
  </si>
  <si>
    <t>IBSA Farmaceutici Italia S.r.l.</t>
  </si>
  <si>
    <t>Inca-Pharm</t>
  </si>
  <si>
    <t>Innova Pharma S.P.A.</t>
  </si>
  <si>
    <t>Ipsen S.p.A.</t>
  </si>
  <si>
    <t>KEDRION SPA</t>
  </si>
  <si>
    <t>L. MOLTENI &amp; C. DEI F.LLI ALITTI SOCIETA' DI ESERCIZIO S.P.A.</t>
  </si>
  <si>
    <t>Laboratori Baldacci S.P.A.</t>
  </si>
  <si>
    <t>LABORATORIO FARMACEUTICO CT SRL</t>
  </si>
  <si>
    <t>LABORATORIO FARMACOLOGICO MILANESE S.R.L.</t>
  </si>
  <si>
    <t>LUNDBECK ITALIA S.P.A.</t>
  </si>
  <si>
    <t>Meda Pharma</t>
  </si>
  <si>
    <t>Merck Serono</t>
  </si>
  <si>
    <t>Msd Italia</t>
  </si>
  <si>
    <t>Neopharmed Gentili</t>
  </si>
  <si>
    <t>NORDIC PHARMA</t>
  </si>
  <si>
    <t>NORGINE ITALIA S.R.L.</t>
  </si>
  <si>
    <t>Novartis Farma</t>
  </si>
  <si>
    <t>Novo Nordisk S.P.A.</t>
  </si>
  <si>
    <t>Oftagen</t>
  </si>
  <si>
    <t>ORION PHARMA SRL</t>
  </si>
  <si>
    <t>OTSUKA 'HARMACEUTICAL ITALY SRL</t>
  </si>
  <si>
    <t>Pfizer Italia</t>
  </si>
  <si>
    <t>PHARMA MAR SRL</t>
  </si>
  <si>
    <t>KYOWA KIRIN Srl</t>
  </si>
  <si>
    <t>Reckitt Benckiser Healthcare (Italia)</t>
  </si>
  <si>
    <t>Rottapharm</t>
  </si>
  <si>
    <t>S.I.F.I.</t>
  </si>
  <si>
    <t>sanofi S.p.A.</t>
  </si>
  <si>
    <t>Scharper</t>
  </si>
  <si>
    <t>Shire Italia</t>
  </si>
  <si>
    <t>Sigma Tau Industrie Farmaceutiche Riunite S.P.A.</t>
  </si>
  <si>
    <t>Teofarma s.r.l.</t>
  </si>
  <si>
    <t>The Medicines Company</t>
  </si>
  <si>
    <t>Thea Farma</t>
  </si>
  <si>
    <t>GiEnne Pharma S.p.A.</t>
  </si>
  <si>
    <t>VIIVHEALTHCARE SRL</t>
  </si>
  <si>
    <t>Visufarma s.r.l.</t>
  </si>
  <si>
    <t>Fornitura biennale suturatrici TST STARR e cicolari intraluminali rette per laparoscopia</t>
  </si>
  <si>
    <t>APPLIED MEDICAL DISTRIBUTION EUROPE BV - FILIALE ITALIANA</t>
  </si>
  <si>
    <t>Fornitura protesi otologiche in conto deposito</t>
  </si>
  <si>
    <t>ARS CHIRURGICA SRL</t>
  </si>
  <si>
    <t>DISTREX S.p.a.</t>
  </si>
  <si>
    <t>Fornitura di n.1 sequenziatore automatico</t>
  </si>
  <si>
    <t>Life Technologies Italia Fil. Life Technologies Europe B.V.</t>
  </si>
  <si>
    <t>Fornitura annuale dispositivi per allattamento per mastosuttori MEDELA</t>
  </si>
  <si>
    <t>Adesione convenzione Intercent per Lancette pungidito, strisce reatiive e sistemi diagnostici per glicemia, ambito ospedaliero lotti 3 e 4</t>
  </si>
  <si>
    <t>BECTON DICKINSON ITALIA SPA</t>
  </si>
  <si>
    <t>Prestazioni educative per progetto Orsa</t>
  </si>
  <si>
    <t>C.S.A.P.S.A. COOPERATIVA SOCIALE</t>
  </si>
  <si>
    <t>Servizio trasporto materiale biologico e materiale vario</t>
  </si>
  <si>
    <t>TRA.SER. SRL</t>
  </si>
  <si>
    <t>COSEPURI Soc. Coop. p.A.</t>
  </si>
  <si>
    <t>Rekeep S.p.A.</t>
  </si>
  <si>
    <t>PLURIMA SPA</t>
  </si>
  <si>
    <t>Service di sistemi per indagini immunoematologiche</t>
  </si>
  <si>
    <t xml:space="preserve">Dia4it s.r.l.  </t>
  </si>
  <si>
    <t>IMMUCOR ITALIA SRL</t>
  </si>
  <si>
    <t>Servizio di assistenza tecnica per il sistema angiografo mod allura</t>
  </si>
  <si>
    <t>Fornitura e installazione di n.2 videobroncoscopi</t>
  </si>
  <si>
    <t>OLYMPUS ITALIA</t>
  </si>
  <si>
    <t>Fornitura stent periferici</t>
  </si>
  <si>
    <t>ACILIA HS SRL</t>
  </si>
  <si>
    <t>EUROMEDICAL S.R.L.</t>
  </si>
  <si>
    <t>MEDICAL INSTRUMENTS</t>
  </si>
  <si>
    <t>Terumo Italia S.r.l.</t>
  </si>
  <si>
    <t>Adesione convenzione Consip Carburante fuel card 5</t>
  </si>
  <si>
    <t>Totalerg Spa</t>
  </si>
  <si>
    <t>Serivizio gestione albo fornitori</t>
  </si>
  <si>
    <t>Net4market - CSAmed S.r.l.</t>
  </si>
  <si>
    <t>Guide coronariche Pressur Wire Aeris e relativo ricevitore</t>
  </si>
  <si>
    <t>Fornitura di n.1 analizzatore metabolismo cellulare per IRCCS Neurosceinze</t>
  </si>
  <si>
    <t>Seahorse Bioscience</t>
  </si>
  <si>
    <t>Carburante per autotrazione</t>
  </si>
  <si>
    <t>SHELL ITALIA S.P.A.</t>
  </si>
  <si>
    <t>Eni spa</t>
  </si>
  <si>
    <t>Adesione convenzione noleggio auto con conducente</t>
  </si>
  <si>
    <t>RTI - Co.Se.Puri Soc. Coop p.a - SACA Coop. A r.l - Coer srl</t>
  </si>
  <si>
    <t>N.B.  questo cig era stato riportato sbagliato sul contratto EUSIS  ALB 2014/1  per mero errore materiale ( 552339094A - CIG sbagliato utilizzato )</t>
  </si>
  <si>
    <t>SACA Coop. A r.l.</t>
  </si>
  <si>
    <t>Coer srl</t>
  </si>
  <si>
    <t>Lenti intraoculari "Micro a Physiol"</t>
  </si>
  <si>
    <t>EMILKON OFTALMICA S.R.L.</t>
  </si>
  <si>
    <t>TRASPORTI DIALIZZATI / ADI</t>
  </si>
  <si>
    <t>CROCE VERDE E.R. SOCIETA'COOP.SOC.</t>
  </si>
  <si>
    <t>ALEX MAZZEO</t>
  </si>
  <si>
    <t>PUBBLICA  ASSISTENZA  MOLINELLAONLUS</t>
  </si>
  <si>
    <t>PUBBLICA  ASSISTENZA CASTENASOONLUS</t>
  </si>
  <si>
    <t>PUBBLICA  ASSISTENZA CROCE BLU- BOL</t>
  </si>
  <si>
    <t>PUBBLICA  ASSISTENZA MINERBIO</t>
  </si>
  <si>
    <t>MARCHESINI WILLIAM</t>
  </si>
  <si>
    <t>DALL'IGNA SERGIO</t>
  </si>
  <si>
    <t>PUBBLICA  ASSISTENZA CASALECCHIO DIONLUS</t>
  </si>
  <si>
    <t>ASS. VOLON.  PUBBLICA  ASSISTENZA CONLUS</t>
  </si>
  <si>
    <t>TRASPORTI INTEROSPEDALIERI-DIALIZZATI-IN EMERGENZA</t>
  </si>
  <si>
    <t>FONDAZIONE CATIS</t>
  </si>
  <si>
    <t>Utilizzo strutture, erogazione servizi e fornitura utenze</t>
  </si>
  <si>
    <t>AERO CLUB PAVULLO S.R.L.SOCIETA' SPORTIVA DILETTANTISTICA</t>
  </si>
  <si>
    <t>Azienda USL di Bologna - Dipartimento Tecnico Patrimoniale</t>
  </si>
  <si>
    <t>DIP.TECNICO-PATRIMONIALE-ADT</t>
  </si>
  <si>
    <t>CF Lavori di rifacimento del massetto e pavimentazione in gomma della sala operatoria al piano atrio del Corpo D dell'ospedale Maggiore di Bologna</t>
  </si>
  <si>
    <t>23-AFFIDAMENTO DIRETTO</t>
  </si>
  <si>
    <t>Consorzio Generale Finiture</t>
  </si>
  <si>
    <t>Servizio di manutenzione degli impianti di comunicazione paziente-personale dell'Ospedale Maggiore e chiamata infermieri dell'Ospedale di Bazzano.</t>
  </si>
  <si>
    <t>SECOM SRL</t>
  </si>
  <si>
    <t>CF fornitura impianti di aspirazione a servizio delle cappe ubicate presso i laboratori di ricerca clinica Neirologica - Edificio G- Osp. Bellaria</t>
  </si>
  <si>
    <t>Project Plast srl</t>
  </si>
  <si>
    <t>CF servizio di gestione e manutenzione full-risk impianto di trattamento acque presso Palazzina ambulatori - Ospedale Maggiore</t>
  </si>
  <si>
    <t>FRESENIUS Medical Care Italia S.p.A.</t>
  </si>
  <si>
    <t>Adesione convenzione Intercenter fornitura gas naturale presso Osp. Loiano e altri presidi</t>
  </si>
  <si>
    <t>Hera Comm srl</t>
  </si>
  <si>
    <t>RTI - Hera Comm srl - SGR servizi S.p.A</t>
  </si>
  <si>
    <t>02-MANDATARIA</t>
  </si>
  <si>
    <t>SGR servizi S.p.A</t>
  </si>
  <si>
    <t>01-MANDANTE</t>
  </si>
  <si>
    <t>CF servizio di gestione e manutenzione full risk impianto di comunicazione paziente/personale Osp. Maggiore di Bologna e chiamata infermieri Ospedale di Bazzano</t>
  </si>
  <si>
    <t>PR concessione per progettazione definitiva ed esecutiva, costruzione e gestione del nuovo laboratorio analisi presso Edificio L "Palazzina Ambulatori"- Ospedale Maggiore</t>
  </si>
  <si>
    <t>Gemmo spa</t>
  </si>
  <si>
    <t>GESTA SPA</t>
  </si>
  <si>
    <t>CCC Consorzio Cooperative Costruzioni</t>
  </si>
  <si>
    <t>Guerrato s.p.a.</t>
  </si>
  <si>
    <t>CME Consorzio Imprenditori Edili Societa' Cooperativa</t>
  </si>
  <si>
    <t>CF manutenzione trattamento acque impianto a servizio centro dialisi ubicato presso edificio monoblocco piano base Osp. Maggiore</t>
  </si>
  <si>
    <t>CF Villa San Camillo - Progetto di ripristino e miglioramento per l'edificio di pertinenza posto sul fronte stradale, danneggiato dal sisma del maggio 2012</t>
  </si>
  <si>
    <t>Enrico Montevecchi</t>
  </si>
  <si>
    <t>CF affidamento collaudo specialistico-funzionale impianti di aspirazione a servizio cappe site nei laboratori di ricerca - clinica neurologica- Pad. G. Ospedale Bellaria</t>
  </si>
  <si>
    <t>PA Pronto soccorso ampliamento e ristrutturazione del Pronto soccorso generale dell'ospedale Maggiore di Bologna. Affidamento lavori di realizzazione pensilina</t>
  </si>
  <si>
    <t>ATI Coop Costruzioni - Ciab</t>
  </si>
  <si>
    <t>CF Progettazione cappella annessa a Villa Malvezzi, via Altura n. 7 - Bologna</t>
  </si>
  <si>
    <t>Studio-EN</t>
  </si>
  <si>
    <t>CF Indagini di diagnostica strutturale - Polo sanitario di Crevalcore colpito dal sisma del mese di maggio 2013</t>
  </si>
  <si>
    <t>TECNO IN</t>
  </si>
  <si>
    <t>CF Progettazione parte storica e Chiesa Santa Chiara del polo Sanitario di Pieve di Cento, in conseguenza degli eventi sismici</t>
  </si>
  <si>
    <t>Adesione Intercenter fornitura gas naturale 3 lotto 1</t>
  </si>
  <si>
    <t>CF Servizi di ingegneria, consistenti nell'espletamento delle verifiche tecniche dei livelli sicurezza strutturali, di cui all'art. 2 comma 3 dell?OPCM 20 marzo 2003 n. 3274, relativamente al presidio "F. Roncati" dell'azienda Usl di Bologna.</t>
  </si>
  <si>
    <t>Marino Gilberto Dallavalle</t>
  </si>
  <si>
    <t>Ing. Davide Grandis</t>
  </si>
  <si>
    <t>Daniele Biondi</t>
  </si>
  <si>
    <t>CF Verifica del PEF del progetto finalizzato alla realizzazione degli impianti di cogenerazione degli oapedali Area Nord e Sud dell'Azienda Usl di Bologna</t>
  </si>
  <si>
    <t>ECOTEAM srl</t>
  </si>
  <si>
    <t>CF servizi di manutenzione e pulizia di aree esterne di alcuni presidi dell'Azienda Usl di Bologna  - Crevalcore, San Giovanni, Budrio, Molinella, Baricella</t>
  </si>
  <si>
    <t>PICTOR SOCIETA' COOPERATIVA SOCIALE IMPRESA SOCIALE</t>
  </si>
  <si>
    <t>C.F Attivita di verifica di vulnerabilita sismica della ciminiera di pertinenza del padiglione Servizi dell'Ospedale Bellaria.</t>
  </si>
  <si>
    <t>CF Indagini geognostiche presso il Polo Sanitario di Crevalcore colpito dal sisma del mese di maggio 2012</t>
  </si>
  <si>
    <t>Prove Penetrometriche</t>
  </si>
  <si>
    <t>CF Redazione perizie di stima su immobili aziendali</t>
  </si>
  <si>
    <t>Donato Tinari</t>
  </si>
  <si>
    <t>CF servizi di manutenzione e pulizia di aree esterne di alcuni presidi dell'Azienda Usl di Bologna - Bentivoglio, Pieve di Cento, San Giorgio di Piano</t>
  </si>
  <si>
    <t>La citta' verde soc. cooperativa sociale</t>
  </si>
  <si>
    <t>CF servizi di manutenzione e pulizia di aree esterne di alcuni presidi dell'Azienda Usl di Bologna - Distretto di Bologna citta'</t>
  </si>
  <si>
    <t>Il Baobab soc. cooperativa sociale</t>
  </si>
  <si>
    <t>Affidamento in via d'urgenza di servizi di ingegneria finalizzati a interventi di ripristino e rinforzo strutturali Polo sanitario di Crevalcore in conseguenza degli eventi sismici</t>
  </si>
  <si>
    <t>CF Indagini geologico-tecniche presso il terreno (lotto 5) posto all'interno del Piano particolareggiato di iniziativa pubblica denonminato "Ex mercato ortofrutticolo - Navile"</t>
  </si>
  <si>
    <t>Geo-Probe</t>
  </si>
  <si>
    <t>CF servizi di manutenzione e pulizia di aree esterne di alcuni presidi dell'Azienda Usl di Bologna - Distretto di Casalecchio di Reno</t>
  </si>
  <si>
    <t>IL MARTIN PESCATORE SOCIETA\' COOPERATIVA SOCIALE - O.N.L.U.S.</t>
  </si>
  <si>
    <t>CF servizi di manutenzione e pulizia di aree esterne di alcuni presidi dell'Azienda Usl di Bologna - Distretto di Porretta Terme</t>
  </si>
  <si>
    <t>Copaps Soc. Cooperativa sociale</t>
  </si>
  <si>
    <t>CF servizi di manutenzione e pulizia di aree esterne di alcuni presidi dell'Azienda Usl di Bologna - Distretto di San Lazzaro e parte del Distretto Bologna citta'</t>
  </si>
  <si>
    <t>AGRIVERDE SOC. COOP. SOCIALE A R.L.</t>
  </si>
  <si>
    <t>CF verifica del PEF relativo alla concessione della progettazione, costruzione ed esecuzione del laboratorio analisi dell'ospedale Maggiore di Bologna</t>
  </si>
  <si>
    <t>CF Rilievo e tracciamento presso il lotto di terreno (Lotto 5) posto all'interno del Piano particolareggiato di iniziativa pubblica denominato "ex mercato ortofrutticolo - Navile" in via Piero Gobetti a Bologna.</t>
  </si>
  <si>
    <t>Geom. Alberto Boninsegna</t>
  </si>
  <si>
    <t>CF Collaborazione nella redazione di elaborati grafici relativi ai lavori di ripristino della facciata nord del monoblocco "Ala lunga" dell'Ospedale Maggiore</t>
  </si>
  <si>
    <t>EN7 srl</t>
  </si>
  <si>
    <t>CF Verifiche di parte terza in ambito statico secondo la norma UNI 10722-3 delle "verifiche tecniche dei livelli di sicurezza strutturale di cui all'art. 2 comma 3 dell'OPCM 20 marzo 2003 n.3274" da effettuarsi sull'ospedale Bellaria di Bologna</t>
  </si>
  <si>
    <t>CF Valutazione del valore di mercato e della regolarita' edilizia dell'edificio del Poliambulatorio di Monzuno, localita' Vado (BO)</t>
  </si>
  <si>
    <t>CF Progettazione preliminare, disciplinare elementi tecnici e computo metrico estimativo delle opere strutturali - Lavori di realizzazione della nuova Casa della salute di Vado-Monzuno (BO).</t>
  </si>
  <si>
    <t>CF Fornitura e posa di n. 3 sistemi compatti portatili per il trattamento acqua per emodialisi presso la palazzina ambulatori - Ospedale Maggiore di Bologna</t>
  </si>
  <si>
    <t>Adesione Intercenter per la fornitura di gas naturale stagione termica gennaio-dicembre 2013</t>
  </si>
  <si>
    <t>CF Progettazione preliminare architettonica dei lavori di costruzione di un nuovo edificio a uso poliambulatorio nel Comune di Monzuno, frazione Vado</t>
  </si>
  <si>
    <t>Gandolfi - Studio Tecnico</t>
  </si>
  <si>
    <t>CF Servizio di manutenzione impianto di trattamento acque a servizio del reparto dialisi dell'Ospedale Maggiore ospitato in via provvisoria presso Policlinico Sant'Orsola</t>
  </si>
  <si>
    <t>CF Servizio TV a servizio del reparto dialisi dell'Ospedale Maggiore ospitato in via provvisoria presso Pooliclinico Sant'Orsola-Malpighi</t>
  </si>
  <si>
    <t>Medialife System srl</t>
  </si>
  <si>
    <t>CF lavori di demolizione del basamento gru alla base della facciata Nord Ala Lunga Ospedale Maggiore</t>
  </si>
  <si>
    <t>C.I.M.S.</t>
  </si>
  <si>
    <t>CF Redazione di n. 2 Piani Economici Finanziari (PEF) relativi ai progetti di realizzazione della Casa della Salute di Navile e della Casa della Salute di Vado/Monzuno</t>
  </si>
  <si>
    <t>CF Indagine geognostica e relazione geologica del Polo Sanitario di Pieve di Cento in conseguenza del sisma del maggio 2012</t>
  </si>
  <si>
    <t>CF Indagini diagnostiche relative ad una porzione del fabbricato sede del Polo Ospedaliero di Pieve di Cento (BO), in conseguenza degli eventi sismici del maggio 2012</t>
  </si>
  <si>
    <t>M.R.M</t>
  </si>
  <si>
    <t>CF Fornitura e posa fasce paracolpi parete - Lavori di ristrutturazione n. 3 piani Ala Lunga. Ospedale Maggiore</t>
  </si>
  <si>
    <t>SEBERG CNI SRL</t>
  </si>
  <si>
    <t>Cf Fornitura e posa fibra per linea telefonica - Lavori di ristrutturazione n. 3 piani Ala Lunga - Ospedale Maggiore</t>
  </si>
  <si>
    <t>LONGWAVE S.p.a.</t>
  </si>
  <si>
    <t>PA 2/2009 Servizi attinenti all'ingegneria e architettura per la realizzazione di una struttura di accoglienza per disabili.</t>
  </si>
  <si>
    <t>Studio OTHE</t>
  </si>
  <si>
    <t>RTI Cooperativa Architetti e Ingegneri</t>
  </si>
  <si>
    <t>U.TE.CO. Soc. coop.</t>
  </si>
  <si>
    <t>Pan Associati s.r.l.</t>
  </si>
  <si>
    <t>SECIS soc. coop. a r.l.</t>
  </si>
  <si>
    <t>sgLab s.a.s.</t>
  </si>
  <si>
    <t>Studio Techne'</t>
  </si>
  <si>
    <t>Lenzi Consultant s.r.l.</t>
  </si>
  <si>
    <t>Guido Moretti</t>
  </si>
  <si>
    <t>RTP Luca guerra</t>
  </si>
  <si>
    <t>RTP Luisa Fontana</t>
  </si>
  <si>
    <t>RTP Stefano Piazzi</t>
  </si>
  <si>
    <t>SEAS s.r.l.</t>
  </si>
  <si>
    <t>ATI T.H.E.MA. s.r.l.</t>
  </si>
  <si>
    <t>RTP Ingegneri Riuniti S.p.A.</t>
  </si>
  <si>
    <t>Fima Engineering s.r.l.</t>
  </si>
  <si>
    <t>RTP Studio Tamassociati di Lepore, Pantaleo e Sfriso</t>
  </si>
  <si>
    <t>Gia Project s.r.l.</t>
  </si>
  <si>
    <t>POLITECNICA ingegneria ed architettura Societa' cooperativa</t>
  </si>
  <si>
    <t>RTP Guizzardi Roberto</t>
  </si>
  <si>
    <t>RTP STAIGI Studio Tecnico Associato Iattoni, Gualmini ed Antoni</t>
  </si>
  <si>
    <t>RTP Studio Linciano Benvenuti e associati</t>
  </si>
  <si>
    <t>RTP Studio Associato Passaleva Associati</t>
  </si>
  <si>
    <t>CF Fornitura corpi illuminanti - Ospedale Bellaria</t>
  </si>
  <si>
    <t>Fabbi Imola</t>
  </si>
  <si>
    <t>CF Fornitura cartellonistica - Ristrutturazione Edificio G dell'Ospedale Bellaria</t>
  </si>
  <si>
    <t>CEA estintori</t>
  </si>
  <si>
    <t>CF Lavori elettrici di modifica impianti esistenti sottocentrale lavori dii completamento RSA di Villa Emilia (BO)</t>
  </si>
  <si>
    <t>SITEMA srl</t>
  </si>
  <si>
    <t>CF Installazione di barriere meccaniche a protezione del complesso ospedaliero - completamento RSA Villa Emilia di San Giovanni in Persiceto (Bo)</t>
  </si>
  <si>
    <t>Gico Systems</t>
  </si>
  <si>
    <t>CF Consulenza professionale inerente l'edificio "Villa Emilia" all'interno del presidio ospedaliero di San Giovanni in Persiceto (BO)</t>
  </si>
  <si>
    <t>Servizio di gestione e manutenzione full risk dell'impianto di comunicazione paziente personale presso l'Ospedale Maggiore di Bologna e dell'impianto infermieri dell'Ospedale Dossetti di Bazzano</t>
  </si>
  <si>
    <t>Adesione convenzioe Consip per il servizio integrato energia SIE2 lotto 5- Presidi territoriali Area Nord, Sud e Centro</t>
  </si>
  <si>
    <t>ATI CNS e Gesta</t>
  </si>
  <si>
    <t>PA 10/2010 Servizi di ingegneria e architettura finalizzati alla realizzazione della nuova struttura denominata "Casa della Salute Navile" in Bologna</t>
  </si>
  <si>
    <t>RTP Zingaretti</t>
  </si>
  <si>
    <t>RTP Studio Altieri S.p.A.</t>
  </si>
  <si>
    <t>RTP STEAM s.r.l.</t>
  </si>
  <si>
    <t>RTP Mythos - Consorzio Stabile  S.C. a r.l.</t>
  </si>
  <si>
    <t>RTP Consorzio Rete</t>
  </si>
  <si>
    <t>RTP Gianni Plicchi</t>
  </si>
  <si>
    <t>5 + 1Agenzia di Architettura alfonso femia gianluca peluffo s.r.l.</t>
  </si>
  <si>
    <t>Binini Partners s.r.l.</t>
  </si>
  <si>
    <t>RTP RPA s.r.l.</t>
  </si>
  <si>
    <t>CF servizio di conduzione, manutenzione e terzo responsabile impianti climatizzazione Ospedale di Loiano</t>
  </si>
  <si>
    <t>CF Lavori di ripristino pavimentazione del secondo piano Corpo D - Ospedale Maggiore</t>
  </si>
  <si>
    <t>CF indagini diagnostiche sulle strutture murarie del fabbricato sito in via Campanini, 4 di Pieve di Cento (BO), in conseguenza degli eventi sismici del maggio 2012</t>
  </si>
  <si>
    <t>CF Indagini specialistiche eseguite presso L'Ospedale di Loiano (BO)</t>
  </si>
  <si>
    <t>ECONOMATO-LOGISTICA-ECO</t>
  </si>
  <si>
    <t>ACQUISTO BANDIERE PER EDIFICI PUBBLICI C.E. 41002800</t>
  </si>
  <si>
    <t>TARGHE-TROFEI SRL</t>
  </si>
  <si>
    <t>EC 2015 MATERIALE SANITARIO ECONOMALE C/EC 41001900 PRG 249</t>
  </si>
  <si>
    <t>ACQUISTO PRESIDI MEDICI VARI C.E. 41002800</t>
  </si>
  <si>
    <t>ACQUISTI IN ECONOMIA DI MATERIALE / SERVIZI</t>
  </si>
  <si>
    <t>ACQUISTO PRESIDI SANITARI PER IMMOBILIZZAZIONE PAZIENTI C.E. 41001900</t>
  </si>
  <si>
    <t>COREMEC S.R.L.C/DED MOD. 1</t>
  </si>
  <si>
    <t>EC 2015 CARTA CANCELLERIA E STAMPATI C/EC 41002500 PRG 160</t>
  </si>
  <si>
    <t>SOLARI DI UDINE SPA</t>
  </si>
  <si>
    <t>ACQUISTO MARKER GRASS C/EC 41001950</t>
  </si>
  <si>
    <t>ACQUISTO TEST PSICOLOGICI C.E. 41902000</t>
  </si>
  <si>
    <t>GIUNTI OS ORGANIZZAZIONI SPECIALI</t>
  </si>
  <si>
    <t>ACQUISTO SIGILLI IN PLASTICA  AD  USO  SANITARIO C.E. 41002900</t>
  </si>
  <si>
    <t>VIVIAM MED SRL</t>
  </si>
  <si>
    <t>RVF SERVIZI GRAFICI S.R.L.(CONTO DED. MOD.3)</t>
  </si>
  <si>
    <t>ACQUISTO PELLICOLE PER DOSIMETRIA C.E. 41001300</t>
  </si>
  <si>
    <t>TECNOLOGIE AVANZATE TA S.R.L.</t>
  </si>
  <si>
    <t>ACQUISTO ACCESSORI PER STAMPA C.E. 41002500</t>
  </si>
  <si>
    <t>IDLOG SRL</t>
  </si>
  <si>
    <t>SERVIZI DI MANUTENZIONE ATTREZZATURE SANITARIE C.E. 41201200</t>
  </si>
  <si>
    <t>S.A.G.I. di Conti G. &amp;C snc</t>
  </si>
  <si>
    <t>C&amp;V SRL</t>
  </si>
  <si>
    <t>ACQUISTO CAVI PER  APPARECCHI SANITARI C.E. 41001950</t>
  </si>
  <si>
    <t>Edwards Lifesciences Italia SpA</t>
  </si>
  <si>
    <t>ACQUISTO ARTICOLI PER OTORINO C.E. 41001900</t>
  </si>
  <si>
    <t>LEDISO ITALIA</t>
  </si>
  <si>
    <t>ACQUISTO FIBRA OTTICA AD USO SANITARIO C.E. 41001900</t>
  </si>
  <si>
    <t>PETRUCCI ANDREA E C. SAS</t>
  </si>
  <si>
    <t>ACQUISTO  ARTICOLI  AD USO SANITARIO C.E. 41002300</t>
  </si>
  <si>
    <t>ALPRETEC SRL</t>
  </si>
  <si>
    <t>SERVIZI RIPARAZIONE ELETTRODOMESTICI C.E. 41201200</t>
  </si>
  <si>
    <t>SERRA LUCA  ASS.TECNICA ELETTROD.</t>
  </si>
  <si>
    <t>ACQUISTO MATERIALE PER ELETTROBISTURI C.E. 41001900</t>
  </si>
  <si>
    <t>FIAB SPA</t>
  </si>
  <si>
    <t>ALBATROS S.R.L.CONDO DED. MOD. 3</t>
  </si>
  <si>
    <t>ACQUISTO ETICHETTE AD USO SANITARIO C.E. 41002500</t>
  </si>
  <si>
    <t>WEBBIT SRLCONTO DEDICATO MOD.1</t>
  </si>
  <si>
    <t>ACQUISTO SCATOLE PER IMBALLAGGIO E ARCHIVIAZIONE C.E. 41002500</t>
  </si>
  <si>
    <t>LUGLI ENRICO SRL</t>
  </si>
  <si>
    <t>ACQUISTO LACCI IN VELCRO PER SACCHE C/EC 41001900</t>
  </si>
  <si>
    <t>Grimed s.r.l.</t>
  </si>
  <si>
    <t>DIP.EMERGENZA-URGENZA-DEU</t>
  </si>
  <si>
    <t>CANONE MANUTENZIONE SW</t>
  </si>
  <si>
    <t>SYMBOLIC SPA</t>
  </si>
  <si>
    <t>DIP.FARMACEUTICO-FAC</t>
  </si>
  <si>
    <t>ECONOMIE: ACQUISTO DISPOSITIVI MEDICI VARI</t>
  </si>
  <si>
    <t>EB Neuro</t>
  </si>
  <si>
    <t>economia: acq. dispositivi medici vari</t>
  </si>
  <si>
    <t>ECONOMIA: ACQUISTO DISPOSITIVI MEDICI VARI</t>
  </si>
  <si>
    <t>ACQUISTO DIAGNOSTICI PER USO LABORATORISTICOC.E. 41001202</t>
  </si>
  <si>
    <t>ELITechGroup S.p.A.</t>
  </si>
  <si>
    <t>ECONOMIA: ACQUISTO DISPOSITIVI MEDICI VARIEX 2012/463</t>
  </si>
  <si>
    <t>QUATTRO MEDICA S.r.l.</t>
  </si>
  <si>
    <t>ECONOMIA: ACQUISTO DISPOSITIVI MEDICI</t>
  </si>
  <si>
    <t>MANTA S.R.L.</t>
  </si>
  <si>
    <t>ECONOMIA: ACQUISTO DISPOSITIVI MEDICI VARIEX 2012/247</t>
  </si>
  <si>
    <t>Medical Turn Key</t>
  </si>
  <si>
    <t>economie transitorie 2013 presidi medico chirurgici</t>
  </si>
  <si>
    <t>economia: acquisto lenti a contatto</t>
  </si>
  <si>
    <t>LA LUXOTTICA</t>
  </si>
  <si>
    <t>ACQUISTO REAGENTI AD USO LABORATORISTICOC.E. 41001202</t>
  </si>
  <si>
    <t>ACQUISTO DIAGNOSTICI PER USO LABORATORISTICOCE 41001202</t>
  </si>
  <si>
    <t>SPA SOCIETA' PROD. ANTIBIOTICI S.P.</t>
  </si>
  <si>
    <t>ACQUISTO REAGENTI PER USO LABORATORISTICOCE.E. 41001200</t>
  </si>
  <si>
    <t>TEST MEDICAL S.A.S. DI ZENNAROALESSANDRO &amp; C.</t>
  </si>
  <si>
    <t>ACQUISTO PRODOTTI DI VETRERIA PER LABORATORIOC.E. 41001630</t>
  </si>
  <si>
    <t>SARSTEDT S.R.L.</t>
  </si>
  <si>
    <t>ACQUISTO PROTESI PER OTORINO+DISP.MEDICIDITTA ARS CHIRURGICA SRLC.E. 41001501</t>
  </si>
  <si>
    <t>D.B.A. ITALIA S.R.L.</t>
  </si>
  <si>
    <t>ACQUISTO MATERIALE VETRERIAC.E. 41001970</t>
  </si>
  <si>
    <t>PHENOMENEX SRL</t>
  </si>
  <si>
    <t>economia: acquisto dispositivi medici vari</t>
  </si>
  <si>
    <t>ACQUISTO PROTESI PER ENDOSCOPIA TORACICAC.E. 41001501</t>
  </si>
  <si>
    <t>NOVATECH SRL NEW TECHNOLOGY FOR LIFE</t>
  </si>
  <si>
    <t>ACQUISTO CEMENTO OSSEO PER NEUROCHIRURGIAC.E. 41001501</t>
  </si>
  <si>
    <t>HERAEUS KULZER S.R.L (ORA HERAEUS</t>
  </si>
  <si>
    <t>ACQUISTO MATERIALE PROTESICO PER OTORINOC.E. 41001501</t>
  </si>
  <si>
    <t>economia: dispositivi mediciex 2012/193</t>
  </si>
  <si>
    <t>ECONOMIA: ACQUISTO DISPOSITIVI MEDICI VARIEX 2012/121</t>
  </si>
  <si>
    <t>ECONOMIA: ACQUISTO DISPOSITIVI MEDICI VARIEX 2012/33</t>
  </si>
  <si>
    <t>economia: medicazioni e dispositivi medici vari</t>
  </si>
  <si>
    <t>3 Emme Italia S.p.A.</t>
  </si>
  <si>
    <t>ECONOMIA: DISPOSITIVI MEDICI VARI</t>
  </si>
  <si>
    <t>Covidien Italia Spa</t>
  </si>
  <si>
    <t>Medica Srl</t>
  </si>
  <si>
    <t>ECONOMIA: ACQUISTO DISPOSITIVI MEDICI VARIEX 2012/62</t>
  </si>
  <si>
    <t>SAPI MED SPA</t>
  </si>
  <si>
    <t>ECONOMIA: ACQUISTO DISPOSITIVI MEDICI VARIEX 2012/70</t>
  </si>
  <si>
    <t>ACQUISTO MATERIALE DI VETRERIA PER USO LABORATORISTICOC.E. 41001630</t>
  </si>
  <si>
    <t>EPPENDORF S.R.L.</t>
  </si>
  <si>
    <t>ACQUISTO PRODOTTI DIETETICICE 41001970</t>
  </si>
  <si>
    <t>MELLIN S.p.A.</t>
  </si>
  <si>
    <t>P.R.I.S.M.A. S.R.L.</t>
  </si>
  <si>
    <t>ECONOMIA: ACQUISTO DISPOSITIVI MEDICI VARIEX 2012/185</t>
  </si>
  <si>
    <t>ACQUISTO REAGENTI E VETRERIA PER USO LABORATORISTICOC.E. 41001202 - 41001630</t>
  </si>
  <si>
    <t>EUROCLONE S.p.A.</t>
  </si>
  <si>
    <t>ECONOMIA: ACQUISTO DISPOSITIVI MEDICI VARIEX 2012/112</t>
  </si>
  <si>
    <t>ECONOMIA:ACQUISTO DISPOSITIVI MEDICI VARIEX 2012158</t>
  </si>
  <si>
    <t>Gambro Hospal S.p.A.</t>
  </si>
  <si>
    <t>ACQUISTO FARMACI VETERINARIC.E. 41001800</t>
  </si>
  <si>
    <t>MSD ANIMAL HEALTH S.R.L. (EX INTERV</t>
  </si>
  <si>
    <t>ACQUISTO VALVOLOTOMO PER CHIRURGIA VASCOLAREC.E. 41001501</t>
  </si>
  <si>
    <t>LEMAITRE VASCULAR SRL</t>
  </si>
  <si>
    <t>acquisto dispositivi medici variex 2012/405</t>
  </si>
  <si>
    <t>ECONOMIA: ACQUISTO DISPOSITIVI MEDICI VARIEX 2012/148</t>
  </si>
  <si>
    <t>ECONOMIA: ACQUISTO DISPOSITIVI MEDICI VARIEX 2012/175</t>
  </si>
  <si>
    <t>Novamedisan Italia s.r.l.</t>
  </si>
  <si>
    <t>Medivis srl.</t>
  </si>
  <si>
    <t>ACQUISTO DISPOSITIVI MEDICI VARIEX 2013/36</t>
  </si>
  <si>
    <t>economia: acquisto sonde e disp.</t>
  </si>
  <si>
    <t>DIEMME DISPOSITIVI MEDICI SRL</t>
  </si>
  <si>
    <t>BIOGENETICS SRL</t>
  </si>
  <si>
    <t>ECONOMIA: ACQUISTO DISPOSITIVI MEDICI VARIEX 2012/350</t>
  </si>
  <si>
    <t>ACQUISTO MEDICINALI CON AICC.E.41001001 P.diS.13501</t>
  </si>
  <si>
    <t>BAUSCH &amp; LOMB - IOM S.P.A.</t>
  </si>
  <si>
    <t>ACQUISTO CARTUCCE PROTOSSIDO AZOTO</t>
  </si>
  <si>
    <t>ACQUISTO PRODOTTI DIETETICIC.E. 41001970</t>
  </si>
  <si>
    <t>PIRAMAL CRITICAL CARE ITALIA S.p.A.</t>
  </si>
  <si>
    <t>ACQUISTO DIAGNOSTICI</t>
  </si>
  <si>
    <t>Medimar  S.A.S di Torelli Franci &amp; C.</t>
  </si>
  <si>
    <t>ECONOMIA:  DISPOSITIVI MEDICI VARIC.E. 41001620</t>
  </si>
  <si>
    <t>neumed srl</t>
  </si>
  <si>
    <t>ECONOMIA: ACQUISTO PROTESI</t>
  </si>
  <si>
    <t>ECONOMIA: ACQUISTO MATERIALE PROTESICO</t>
  </si>
  <si>
    <t>ACQUISTO MATERIALE PROTESICO + DISPOSITIVIC.E. 41001501</t>
  </si>
  <si>
    <t>MILLIPORE S.P.A.</t>
  </si>
  <si>
    <t>THD S.p.a.</t>
  </si>
  <si>
    <t>ACQUISTO DIETETICIC.E. 41001970</t>
  </si>
  <si>
    <t>SOLGAR ITALIA MULTINUTRIENT SPA</t>
  </si>
  <si>
    <t>ACQUISTO PROTESI ODONTOIATRICHEC.E 41001501</t>
  </si>
  <si>
    <t>MATERIALISE DENTAL ITALIA NV</t>
  </si>
  <si>
    <t>ACQUISTO CUTE ARTIFICIALE PER CHIRURGIA PLASTICAC.E. 41001501</t>
  </si>
  <si>
    <t>EXACTECH ITALIA S.p.A.</t>
  </si>
  <si>
    <t>ACQUISTO DIETETICI</t>
  </si>
  <si>
    <t>Europa Trading Srl</t>
  </si>
  <si>
    <t>DENTAL EQUIPE S.R.L.</t>
  </si>
  <si>
    <t>ACQUISTO DISPOSITIVI MEDICI VARI</t>
  </si>
  <si>
    <t>ASTRA FORMEDIC SRL</t>
  </si>
  <si>
    <t>SOFEDUS SRL</t>
  </si>
  <si>
    <t>CALLEGARI SPA</t>
  </si>
  <si>
    <t>ACQUISTO DIAGNOSTICI E VETRERIA PER USO LABORATORISTICOC.E. 41001202 - 41001630</t>
  </si>
  <si>
    <t>ACQUISTO REAGENTI PER USO LABORATORISTICOC.E. 41001202</t>
  </si>
  <si>
    <t>CHROMSYSTEMS INSTR. &amp; CHEMICALS GMB</t>
  </si>
  <si>
    <t>ACQUISTO MATERIALE PROTESICOC.E. 41001501</t>
  </si>
  <si>
    <t>DIAL ALTA TECNOLOGIA MEDICA S.R.L.</t>
  </si>
  <si>
    <t>ECONOMIA. ACQUISTO PROTESI</t>
  </si>
  <si>
    <t>GENERAL HOSPITAL SUPPLIES S.P.A.</t>
  </si>
  <si>
    <t>ACQUISTO DIAGNOSTICI E VETRERIA PER USO LABORATORIOC.E. 41001630</t>
  </si>
  <si>
    <t>VACUTEST KIMA SRL</t>
  </si>
  <si>
    <t>DENTSPLY IH SRL(EX ASTRATECH SPA)</t>
  </si>
  <si>
    <t>HEMOCUE S.R.L.</t>
  </si>
  <si>
    <t>ACQUISTO GALENICIC.E. 41001002 MEDICINALI SENZA AICN.B.: DAL 1.07.13 FENWAL EUROPE ASSORBITA DA FRESENIUS KABI</t>
  </si>
  <si>
    <t>ECONOMIA: ACQUISTO DISPOSITIVI MEDICI VARIEX 2012/145</t>
  </si>
  <si>
    <t>Fujirebio Italia S.r.l.</t>
  </si>
  <si>
    <t>ACUSTICA BOLOGNESE SRL</t>
  </si>
  <si>
    <t>ACQUISTO STENT PER RADIOLOGIA E PROTESI MAXILLOC.E. 410015001</t>
  </si>
  <si>
    <t>ACQUISTO MATERIALE PER TRATTAMENTO IMPLANTOLOGICOC.E. 41001501</t>
  </si>
  <si>
    <t>NOBEL BIOCARE ITALIANA SRL</t>
  </si>
  <si>
    <t>STRUMENTARIO PER RIMOZIONE CHIODOC.E. 41001620</t>
  </si>
  <si>
    <t>UNIMEDICAL s.r.l.</t>
  </si>
  <si>
    <t>ECONOMIA: ACQUISTO DISPOSITIVI MEDICI VARIEX/2012/30</t>
  </si>
  <si>
    <t>VWR International Srl</t>
  </si>
  <si>
    <t>ECONOMIA: ACQUISTO DISPOSITIVI MEDICI VARI+MAT.PROTESICO</t>
  </si>
  <si>
    <t>FIN-CERAMICA FAENZA S.P.A</t>
  </si>
  <si>
    <t>ACQUISTO REAGENTI PER USO LABORATORISTICOE GALENICIC.E. 41001202 e C.E. 41001002</t>
  </si>
  <si>
    <t>MERCK LIFE SCIENCE S.R.L.</t>
  </si>
  <si>
    <t>economia: acquisto dispositivi medici variex 2012/407</t>
  </si>
  <si>
    <t>ACQUISTO VACCINI</t>
  </si>
  <si>
    <t>ACQUISTO MEDICINALI ESTERIC.E. 41001002</t>
  </si>
  <si>
    <t>MEDAC GMBH</t>
  </si>
  <si>
    <t>RESNOVA S.r.l.</t>
  </si>
  <si>
    <t>ECONOMIA: ACQUISTO DISPOSITIVI MEDICI VARIEX 2012/538</t>
  </si>
  <si>
    <t>ESPANSIONE MARKETING S.P.A.BLOCCO 27 CENTERGROSS</t>
  </si>
  <si>
    <t>ACQUISTO DIAGNOSTICI PER USO LABORATORISTICO (PARAFFINA)C.E. 41001200</t>
  </si>
  <si>
    <t>ACQUISTO DIAGNOSTICI PER USO LABORATORISTICO (TRIAGE)C.E. 41001202</t>
  </si>
  <si>
    <t>Abbott Rapid Diagnostisc srl</t>
  </si>
  <si>
    <t>ACQUISTO DI FARMACI</t>
  </si>
  <si>
    <t>FARMACIA COM. SASSO MARCONI</t>
  </si>
  <si>
    <t>BIOMEDICA FOSCAMA GROUP SPA</t>
  </si>
  <si>
    <t>LIFECELL EMEA LIMITED</t>
  </si>
  <si>
    <t>ACQUISTO MATERIALE PROTESICO PER IMPIANTO DENTALEC.E. 41001501</t>
  </si>
  <si>
    <t>GEISTLICH BIOMATERIALS ITALIA SRL</t>
  </si>
  <si>
    <t>Dako Italia Srl</t>
  </si>
  <si>
    <t>ACQUISTO GALENCICIC.E.41001002 MEDICINALI SENZA AIC</t>
  </si>
  <si>
    <t>HULKA SRL</t>
  </si>
  <si>
    <t>ACQUISTO DIAGNOSTICI E VETRERIA PER USO LABORATORISTICOC.E. 41001202 -41001630</t>
  </si>
  <si>
    <t>DI GIOVANNI SRL</t>
  </si>
  <si>
    <t>Tristel Italia S.r.l.</t>
  </si>
  <si>
    <t>EVOLUZIONE SRL</t>
  </si>
  <si>
    <t>ACQUISTO MEDICINALI</t>
  </si>
  <si>
    <t>FONDAZIONE SALVATORE MAUGERI</t>
  </si>
  <si>
    <t>ACQUISTO MEDICINALIC.E.  41001001</t>
  </si>
  <si>
    <t>S.M. FARMACEUTICI SRL</t>
  </si>
  <si>
    <t>economia: acq. disp. medici vari</t>
  </si>
  <si>
    <t>ACQUISTO MATERIALE PROTESICO</t>
  </si>
  <si>
    <t>LINK ITALIA S.p.A.</t>
  </si>
  <si>
    <t>ACQUISTO DIAGNOSTICI PER USO LABORATORISTICOC.E.41001202</t>
  </si>
  <si>
    <t>TECHNOGENETICS S.R.L.</t>
  </si>
  <si>
    <t>acquisto dispositivi medici variex 2012/272 c.e. 150</t>
  </si>
  <si>
    <t>ECONOMIA:ACQUISTO DISPOSITIVI MEDICI VARIEX 2012 489</t>
  </si>
  <si>
    <t>W.L.GORE E ASSOCIATI S.R.L.</t>
  </si>
  <si>
    <t>ECONOMIA:ACQUISTO DISPOSITIVI MEDICI VARI</t>
  </si>
  <si>
    <t>ECONOMIA: ACQUISTO DISPOSITIVI MEDICI VARIEX 2012/425</t>
  </si>
  <si>
    <t>LMA ITALIA SRL ( EX ITALIA MEDICAL</t>
  </si>
  <si>
    <t>MEDIMARKET SRL</t>
  </si>
  <si>
    <t>ECONOMIA: ACQUISTO DISPOSITIVI MEDICI VARIEX2012/304</t>
  </si>
  <si>
    <t>MEDLINE INTERNATIONAL ITALY SRL UNI(EX CAREFUSION ITALY 208 EX CARDINA</t>
  </si>
  <si>
    <t>TORNIER SRL</t>
  </si>
  <si>
    <t>acquisto dispositivi medici ( misuratore pressione)</t>
  </si>
  <si>
    <t>ECONOMIA: ACQUISTO DISPOSITIVI MEDICI VARIC.E. 41001620</t>
  </si>
  <si>
    <t>ACQUISTO VALVOLE DI MOLTENO PER OCULISTICAC.E. 41001501</t>
  </si>
  <si>
    <t>ARCHIMEDE s.r.l.</t>
  </si>
  <si>
    <t>ACQUISTO IMPIANTI CHIRURGIA MAXILLO FACCIALEC.E. 41001501</t>
  </si>
  <si>
    <t>STRAUMANN ITALIA S.R.L.</t>
  </si>
  <si>
    <t>DIP.TECNICO-PATRIMONIALE-CED</t>
  </si>
  <si>
    <t>MANUTENZIONE E ASSISTENZA  SW IN ECONOMIA ANNO 2013CONTO 41201500</t>
  </si>
  <si>
    <t>HONEYWELL S.R.L.</t>
  </si>
  <si>
    <t>MANUTENZIONE E ASSISTENZA  SW ANNUALE IN ECONOMIA ANNO 2013CONTO 41201500</t>
  </si>
  <si>
    <t>ELECTRO GRAPHICS S.R.L.</t>
  </si>
  <si>
    <t>ACQUISTO IN ECONOMIA MATERIALE HARDWARE ANNO 2013 CE 11020400</t>
  </si>
  <si>
    <t>TEAM MEMORES COMPUTER S.p.A.</t>
  </si>
  <si>
    <t>ACQUISTO IN ECONOMIA MATERIALE HARDWARE ANNO 2013CE 11020400</t>
  </si>
  <si>
    <t>ACQUISTO IN ECONOMIA MINUTERIA INFORMATICA  ANNO 2013CE 41002600</t>
  </si>
  <si>
    <t>NADA 2008 SRL</t>
  </si>
  <si>
    <t>MENHIR COMPUTERS</t>
  </si>
  <si>
    <t>TSS SPA ex 24 ORE SOFTWARE SPA SOCIETA' UNIPERSONALE</t>
  </si>
  <si>
    <t>Officine Digitali S.p.A.</t>
  </si>
  <si>
    <t>MANUTENZIONE E ASSISTENZA HW  IN ECONOMIA ANNO 2013CONTO 41201400</t>
  </si>
  <si>
    <t>MANUTENZIONE E ASSISTENZA SW IN ECONOMIA ANNO 2013 CONTO 41201500</t>
  </si>
  <si>
    <t>RINNOVO LICENZE D'USO IN ECONOMIA  ANNO 2013C.E. 41201500</t>
  </si>
  <si>
    <t>Tomware S.c.a r.l.</t>
  </si>
  <si>
    <t>SPS SRL A SOCIO UNICO</t>
  </si>
  <si>
    <t>PROJECT INFORMATICA SRL</t>
  </si>
  <si>
    <t>CENTRO AUTOMAZIONE UFFICI SNC</t>
  </si>
  <si>
    <t>SERVIZIO INTEGRAZIONE SW  ANNO 2013CE 11010300</t>
  </si>
  <si>
    <t>Anastasis Soc. Coop.</t>
  </si>
  <si>
    <t xml:space="preserve"> POSTALIZZAZIONE VIA POSTE ITALIANE DI MAILINGIN FORMATO PDF - IN PIATTAFORMA MPX</t>
  </si>
  <si>
    <t>INFORMATICA.NET SRL</t>
  </si>
  <si>
    <t>PUCCIUFFICIO SRL</t>
  </si>
  <si>
    <t>Fornitura Notebook/PC di valore medio (fino a 750)anno 2013CE11020400</t>
  </si>
  <si>
    <t>MATONTI ANTONIO</t>
  </si>
  <si>
    <t>EUROTECNO S.R.L.</t>
  </si>
  <si>
    <t>ACQUISTO LICENZE D'USO IN ECONOMIA ANNO 2013C.E.11010300</t>
  </si>
  <si>
    <t>SANITA' FUTURA SRL</t>
  </si>
  <si>
    <t>DELTA INFORMATICA</t>
  </si>
  <si>
    <t>FREEWARE TECHNOLOGY SRL</t>
  </si>
  <si>
    <t>FLASHBAY LTD</t>
  </si>
  <si>
    <t>ACQUISTO IN ECONOMIA NOTEBOOK/PC  VALORE &gt;1000CE11020400</t>
  </si>
  <si>
    <t>BECHTLE DIRECT SRL</t>
  </si>
  <si>
    <t>ACQUISIZIOONE IN ECONOMIA PC DESKTOP ANNO 2013</t>
  </si>
  <si>
    <t>MEMOGRAPH DI PANERO GIOVANNA</t>
  </si>
  <si>
    <t>ACQUISTO IN ECONOMIA SERVER  ANNO 2013CE 11020400</t>
  </si>
  <si>
    <t>HELIOS2000 DI GIORGIO ARCANGELO</t>
  </si>
  <si>
    <t>ACQUISTO IN ECONOMIA STAMPANTI TERMICHE ANNO 2013C.E.41002600</t>
  </si>
  <si>
    <t>SORI dp S.R.L.</t>
  </si>
  <si>
    <t>SERVICE NON SANITARI - ECONOMIA 2012CONTO 41303200</t>
  </si>
  <si>
    <t>ADCOM S.R.L.</t>
  </si>
  <si>
    <t>IMPLEMENTAZIONE SOFTWARE IN ECONOMIA  ANNO 2013CE 11010300</t>
  </si>
  <si>
    <t>SINTEL ITALIA SPA</t>
  </si>
  <si>
    <t>GARAVINI SOFTWARE SRL</t>
  </si>
  <si>
    <t>MF SRL</t>
  </si>
  <si>
    <t>QUASARTEK SRL</t>
  </si>
  <si>
    <t>STUDIO NICOLI DI G. NICOLI E C. SAS</t>
  </si>
  <si>
    <t>ROENET SRL</t>
  </si>
  <si>
    <t>ACQUISTO IN ECONOMIA VIDEOPROIETTORI ANNO 2013CE11020400</t>
  </si>
  <si>
    <t>DPS INFORMATICA di Presello Gianni &amp; C. SNC</t>
  </si>
  <si>
    <t>SOFTWARE EXPERIENCE SRL</t>
  </si>
  <si>
    <t>INFOBIT SNC</t>
  </si>
  <si>
    <t>BIM S.R.L.</t>
  </si>
  <si>
    <t>IMPLEMENTAZIONE SOFTWARE CRS IN ECONOMIA  ANNO 2013CE 11010300</t>
  </si>
  <si>
    <t>TESI ELETTRONICA E SISTEMI INFORMATIVI SPA</t>
  </si>
  <si>
    <t>ENGINEERING INGEGNERIAINFORMATICA SPA</t>
  </si>
  <si>
    <t>G. OSTI SISTEMI SRL</t>
  </si>
  <si>
    <t>ACQUISTO IN ECONOMIA LETTORI BARCODE/SCANNER - ANNO 2013CE 41002600</t>
  </si>
  <si>
    <t>A.G. INFORMATICA SRL</t>
  </si>
  <si>
    <t>GSA SRL</t>
  </si>
  <si>
    <t>W2K Srl</t>
  </si>
  <si>
    <t>SYSTEMAX ITALY SRL</t>
  </si>
  <si>
    <t>NONSOLOMODULI SNC DI CORREANI &amp; C.</t>
  </si>
  <si>
    <t>C2 SRL</t>
  </si>
  <si>
    <t>LIST SAS</t>
  </si>
  <si>
    <t>ECO LASER INFORMATICA SRL</t>
  </si>
  <si>
    <t>888 SOFTWARE PRODUCTS SRL</t>
  </si>
  <si>
    <t>ALDER SRL</t>
  </si>
  <si>
    <t>ALTAVIA S.R.L.</t>
  </si>
  <si>
    <t>farmadati italia s.r.l.</t>
  </si>
  <si>
    <t>K2 INFORMATICA DI PIERRI CARLO</t>
  </si>
  <si>
    <t>LOG80 SRL</t>
  </si>
  <si>
    <t>STUDIO DI PROGRAMMAZIONE MAGDALA DILEMMO, SINIGAGLIA, DANIELI</t>
  </si>
  <si>
    <t>NEW TEAM SRL</t>
  </si>
  <si>
    <t>PRO GAMMA SPA</t>
  </si>
  <si>
    <t>PROGEL SPA</t>
  </si>
  <si>
    <t>PROVECO SRL</t>
  </si>
  <si>
    <t>LINDY ITALIA SRL</t>
  </si>
  <si>
    <t>FERRARI COMPUTER BOLOGNA SRL</t>
  </si>
  <si>
    <t>GIANNONE COMPUTERS SAS</t>
  </si>
  <si>
    <t>LINK ACCESSORI SRL</t>
  </si>
  <si>
    <t>IMPIANTI VIDEO ANNO 2013 - ECONOMIACE 11020400</t>
  </si>
  <si>
    <t>ALPAGRAF DI ALBERTO PALMARIN</t>
  </si>
  <si>
    <t>KORA SISTEMI INFORMATICI SRL</t>
  </si>
  <si>
    <t>CARTOIDEE DI CULTRARO VASTA GIUSEP</t>
  </si>
  <si>
    <t>REDOMINO SRL</t>
  </si>
  <si>
    <t>RV INFORMATICA SNC</t>
  </si>
  <si>
    <t>SORIGRAFIA SRL</t>
  </si>
  <si>
    <t>TEAMSYSTEM SPA</t>
  </si>
  <si>
    <t>WEB SITE STORE SRL</t>
  </si>
  <si>
    <t>MANUTENZIONE E ASSISTENZA HW  ANNUALE IN ECONOMIA ANNO 2013CONTO 41201400</t>
  </si>
  <si>
    <t>CIEMME GESCO SRLC/DED MOD. 1</t>
  </si>
  <si>
    <t>ECONOCOM  INTERNATIONAL ITALIA SPA</t>
  </si>
  <si>
    <t>INDACO PROJECT SRL</t>
  </si>
  <si>
    <t>UNI SISTEMI SPA</t>
  </si>
  <si>
    <t>VEM SISTEMI</t>
  </si>
  <si>
    <t>MANUTENZIONE E ASSISTENZA  SW ANNUALE IN ECONOMIA ANNO 2013C.E. 11010300</t>
  </si>
  <si>
    <t>SIGMA SERVICE SRL</t>
  </si>
  <si>
    <t>3A SISTEMI SRL</t>
  </si>
  <si>
    <t>NOLEGGIO HW IN ECONIMIA ANNO 2013C.E.41301500</t>
  </si>
  <si>
    <t>BM SERVICE S.R.L.</t>
  </si>
  <si>
    <t>VIRTUAL LOGIC SRL</t>
  </si>
  <si>
    <t>ACQUISTO IN ECONOMIA SW NON INVENTARIABILI  ANNO 2013CE 41002700</t>
  </si>
  <si>
    <t>Telefonia Mobile Ausl E 118 - Vodafone</t>
  </si>
  <si>
    <t>VODAFONE OMNITEL N.V.</t>
  </si>
  <si>
    <t>PRECISION SPA</t>
  </si>
  <si>
    <t>AGLIETTA MARIO DI MARIO AGLIETTA &amp;</t>
  </si>
  <si>
    <t>ROKEPO SRL</t>
  </si>
  <si>
    <t>TEAM OFFICE SRL</t>
  </si>
  <si>
    <t>STUDIO DI INFORMATICA DELLA RCRMAIN</t>
  </si>
  <si>
    <t>PERSONALIZZAZIONI SOFTWARE  IN ECONOMIA  ANNO 2013CE 11010300</t>
  </si>
  <si>
    <t>GSM INFORMATICA DI ZAPPITELLO MASSI</t>
  </si>
  <si>
    <t>NEXT HARDWARE &amp; SOFTWARE SPA</t>
  </si>
  <si>
    <t>VI.S.A. SISTEMI SRL</t>
  </si>
  <si>
    <t>SGG SOFT DI GUAIANA SALVATORE</t>
  </si>
  <si>
    <t>SIAPEC SERVIZI SRL</t>
  </si>
  <si>
    <t>MICRON SOLUZIONI INFORMATICHE SNC D</t>
  </si>
  <si>
    <t>INFOTEAM SRL</t>
  </si>
  <si>
    <t>ACQUISIZIONE BANCA DATI MICROMEDEXCONTO 41202400</t>
  </si>
  <si>
    <t>TRUVEN HEALTH ANALYTICS INC.</t>
  </si>
  <si>
    <t>ZUCCHETTI INFORMATICA S.p.A.</t>
  </si>
  <si>
    <t>F.E.R.T. SAS</t>
  </si>
  <si>
    <t>ENTER SRL</t>
  </si>
  <si>
    <t>INDICOD-ECR</t>
  </si>
  <si>
    <t>IMPIANTI E MACCHINARI VIDEOSORVEGLIANZA  ANNO 2013CE 11020200</t>
  </si>
  <si>
    <t>EMISFERA SISTEMI SPA</t>
  </si>
  <si>
    <t>TECHINFORM DI MAURIZIO ORSETTI</t>
  </si>
  <si>
    <t>CINECA CENTRO CALCOLO ELETT.INTERU</t>
  </si>
  <si>
    <t>PHARSIGHT INTERNATIONAL FRANCE SAR</t>
  </si>
  <si>
    <t>DOMOTICA LABS SRL</t>
  </si>
  <si>
    <t>SERVIZI INFORMATICI PER SVILUPPO SISTEMA GARSIA-ECONOMIAC.E.41111982</t>
  </si>
  <si>
    <t>TRACCE SRL</t>
  </si>
  <si>
    <t>NEMES SRL</t>
  </si>
  <si>
    <t>I&amp;C SRL</t>
  </si>
  <si>
    <t>SER DATA S.R.L.</t>
  </si>
  <si>
    <t>ACS DATA SYSTEMS  AG/SPA</t>
  </si>
  <si>
    <t>ACQUISTO NOTEBOOK 516 IN ECONOMIA ANNO 2013CE 41002600</t>
  </si>
  <si>
    <t>AREA NORD. MANUTENZIONE ORDINARIA EDILE, ELETTRICA ETERMOIDRAULICA IN ECONOMIA (buoni d'ordine)</t>
  </si>
  <si>
    <t>LA CITTA' VERDE SOC COOP SOCIALE A.</t>
  </si>
  <si>
    <t>MANUTENZIONE ORDINARIA EDILE, ELETTRICATERMOIDRAULICA IN ECONOMIA (buoni d'ordine)</t>
  </si>
  <si>
    <t>AGRIVERDE S.C. SOCIALE A R.L.</t>
  </si>
  <si>
    <t>OM. MANUTENZIONE ORDINARIA EDILE, ELETTRICA, TERMOIDRAULICAIN ECONOMIA (buoni d'ordine)</t>
  </si>
  <si>
    <t>autoprotezione zanoli s.a.s. di zanoli fabrizio &amp; c.</t>
  </si>
  <si>
    <t>AREA NORD: MANUTENZIONE STRAORDINARIA RICAPITALIZZABILEEDILE, ELETTRICA, TERMOIDRAULICA IN ECONOMIA (buoni d'ordine</t>
  </si>
  <si>
    <t>NOVA INFISSI  SAS DI BENELLI LORIS</t>
  </si>
  <si>
    <t>TERRITORIO CITTA: MANUTENZIONE ORDINARIA EDILE, ELETTRICATERMOIDRAULICA IN ECONOMIA (buoni d'ordine)</t>
  </si>
  <si>
    <t>AREA SUD: ACQUISTO MATERIALE EDILE, ELETTRICO,TERMOIDRAULICOPER MANUTENZIONI IN ECONOMIA (buoni d'ordine)</t>
  </si>
  <si>
    <t>GHERARDINI SRLFERRAMENTA</t>
  </si>
  <si>
    <t>OB. MANUTENZIONE ORDINARIA EDILE, ELETTRICA, TERMOIDRAULICAIN ECONOMIA (buoni d'ordine)E18G10000210002</t>
  </si>
  <si>
    <t>EREDI  DI RATTI RENATOVIA CELLINI 17</t>
  </si>
  <si>
    <t>OB. ACQUISTO MATERIALE EDILE, TERMOIDRAULICO, ELETTRICOPER MANUTENZIONI IN ECONOMIA (buoni d'ordine)</t>
  </si>
  <si>
    <t>CRIO SALENTO S.R.L.</t>
  </si>
  <si>
    <t>AREA SUD: MANUTENZIONE ORDINARIA EDILE, ELETTRICA, TERMO-IDRAULICA IN ECONOMIA (buoni d'ordine)</t>
  </si>
  <si>
    <t>ECOSOLAR   SRL</t>
  </si>
  <si>
    <t>GAMMA FRIGO DI ZANNI G. E C. S.N.C.</t>
  </si>
  <si>
    <t>SACOP PEANO SRL</t>
  </si>
  <si>
    <t>ACQUISTO MATERIALE EDILE, ELETTRICO, TERMOIDRAULICOper manutenzioni in economia</t>
  </si>
  <si>
    <t>FERRAMENTA ROBERTO MAZZA &amp; C s.n.c.</t>
  </si>
  <si>
    <t>AREA NORD: ACQUISTO MATERIALE EDILE, ELETTRICO, TERMOIDRAULICO PER MANUTENZIONI IN ECONOMIA (buoni d'ordine)</t>
  </si>
  <si>
    <t>SERRA UMBERTO &amp; FIGLI S.N.C.DI SERRA ADRIANO &amp; C.</t>
  </si>
  <si>
    <t>OB. MANUTENZIONE RICAPITALIZZABILE EDILE, ELETTRICA ETERMOIDRAULICA IN ECONOMIA (buoni d'ordine)</t>
  </si>
  <si>
    <t>SAUERMANN ITALIA SRL</t>
  </si>
  <si>
    <t>TAGLIAVINI S.R.L.</t>
  </si>
  <si>
    <t>PARENTI E TESINI S.R.L.</t>
  </si>
  <si>
    <t>FALEGNAMERIA XILOSYSTEM S.N.C. DICARATI PAOLO &amp; C.</t>
  </si>
  <si>
    <t>Moroni &amp; C. snc di Moroni Mauro</t>
  </si>
  <si>
    <t>AGRIDEA DI FEDE MICHELE</t>
  </si>
  <si>
    <t>TESTO S.P.A.C/DED.MOD.2</t>
  </si>
  <si>
    <t>ORIONE DI BISTULFI SRL</t>
  </si>
  <si>
    <t>OTIS SERVIZI S.R.L.(CONTO DED.1)</t>
  </si>
  <si>
    <t>OM. ACQUISTO MATERIALE EDILE, ELETTRICO, TERMOIDRAULICOper manutenzioni in economia</t>
  </si>
  <si>
    <t>XTREAMTEK SRL - ARDUINI ELETTRONICAXTREAMTEK SRL - ARDUINI ELETTRONICA</t>
  </si>
  <si>
    <t>TERRITORIO CITTA': MANUTENZIONE RICAPITALIZZABILE EDILEELETTRICA, TERMOIDRAULICA IN ECONOMIA (buoni d'ordine)</t>
  </si>
  <si>
    <t>SCANDELLARI INFISSI S.R.L.</t>
  </si>
  <si>
    <t>OM. MANUTENZIONE RICAPITALIZZABILE EDILE, ELETTRICA ETERMOIDRAULICA IN ECONOMIA (buoni d'ordine)</t>
  </si>
  <si>
    <t>RESTAURI INNOVATIVI TECNOLOGICI S.RESTAURI INNOVATIVI TECNOLOGICI S.</t>
  </si>
  <si>
    <t>S.B.M.R. SRL.C.</t>
  </si>
  <si>
    <t>TERRITORIO CITTA: ACQUISTO MATERIALE EDILE, ELETTRICO,TERMOIDRAULICO PER MANUTENZIONI IN ECONOMIA(buoni d'ordine)</t>
  </si>
  <si>
    <t>FERRAMENTA S.ISAIA</t>
  </si>
  <si>
    <t>LODI FERRAMENTA S.N.C. DI LODI GIOV</t>
  </si>
  <si>
    <t>AUTOMAT SERVICE S.R.L.</t>
  </si>
  <si>
    <t>TECNOCLIMA SASTECNOCLIMA SAS</t>
  </si>
  <si>
    <t>MANUTENZIONE ORDINARIA EDILE, ELETTRICA ETERMOIDRAULICA IN ECONOMIA (buoni d'ordine)</t>
  </si>
  <si>
    <t>PRECOM SNC DI MARCO PANELLA &amp; C.</t>
  </si>
  <si>
    <t>MANUTENZIONE ORDINARIA EDILE, ELETTRICA, TERMOIDRAULICAIN ECONOMIA (buoni d'ordine)</t>
  </si>
  <si>
    <t>NUOVE TECNOLOGIE S.R.L.</t>
  </si>
  <si>
    <t>ITAL CONTROL METERSITAL CONTROL METERS</t>
  </si>
  <si>
    <t>MANUTENZIONE ORDINARIA EDILE, ELETTRICA, TERMO-IDRAULICA IN ECONOMIA (buoni d'ordine)</t>
  </si>
  <si>
    <t>ETA BETA SRL</t>
  </si>
  <si>
    <t>PROTECH SRL</t>
  </si>
  <si>
    <t>VERONESI S.R.L. AERAULICA</t>
  </si>
  <si>
    <t>MANUTENZIONE STRAORDINARIA RICAPITALIZZABILEEDILE, ELETTRICA, TERMOIDRAULICA IN ECONOMIA (buoni d'ordine</t>
  </si>
  <si>
    <t>BIOH S.R.L.</t>
  </si>
  <si>
    <t>ARTIC ENERGY SRL</t>
  </si>
  <si>
    <t>TECNOTERM SRL</t>
  </si>
  <si>
    <t>ITACA  S.R.L.</t>
  </si>
  <si>
    <t>KONE S.P.A.</t>
  </si>
  <si>
    <t>COSTRUZIONI ELETTROMECCANICHE P. TO</t>
  </si>
  <si>
    <t>FERRAMENTA MARCHIONI SNC</t>
  </si>
  <si>
    <t>C.I.M.S. SRL</t>
  </si>
  <si>
    <t>FERRAMENTA ROMA SNC DI SILVANO GUER</t>
  </si>
  <si>
    <t>ELETTROTECNICA ORTE DI BORSARI ORAZ</t>
  </si>
  <si>
    <t>LOLLI RAFFAELE IMPIANTI S.R.L.DED. 2</t>
  </si>
  <si>
    <t>OXA S.A.S.</t>
  </si>
  <si>
    <t>SILVIA STANZANI - MOSAICO D'ARREDO</t>
  </si>
  <si>
    <t>TECNEL S.R.L.</t>
  </si>
  <si>
    <t>CIPAM S.R.L.</t>
  </si>
  <si>
    <t>FABBI IMOLA SRL</t>
  </si>
  <si>
    <t>COCCHI PAOLO DI COCCHI GIAMPAOLO</t>
  </si>
  <si>
    <t>ENDRESS+HAUSER ITALIA SPA</t>
  </si>
  <si>
    <t>GENERALE SISTEMI SRL</t>
  </si>
  <si>
    <t>AR.ES SAS DI GASPERINI STEFANIA &amp; CAR.ES SAS DI GASPERINI STEFANIA &amp; C</t>
  </si>
  <si>
    <t>ACQUISTO MATERIALE EDILE, ELETTRICO,TERMOIDRAULICOPER MANUTENZIONI IN ECONOMIA (buoni d'ordine)</t>
  </si>
  <si>
    <t>FERRAMENTA PALMIERI  DI MARCHESI MA</t>
  </si>
  <si>
    <t>MANUTENZIONE STRAORDINARIA RICAPITALIZZABILE EDILE, ELETTRICA, TERMOIDRAULICA IN ECONOMIA (buoni d'ordine</t>
  </si>
  <si>
    <t>AIR LIQUIDE SANITA' SERVICE S.P.A.</t>
  </si>
  <si>
    <t>FIORI VIVIANO FERRAMENTA SRL</t>
  </si>
  <si>
    <t>FITRE  SPAFITRE SPA</t>
  </si>
  <si>
    <t>DIP.TECNICO-PATRIMONIALE-ICL</t>
  </si>
  <si>
    <t>RICHIESTE DI OFFERTA MERCATO ELETTRONICO ( RDO)</t>
  </si>
  <si>
    <t>MANUTENZIONI CORRETTIVE APP.RE BIOMEDICHE AZIENDA USL</t>
  </si>
  <si>
    <t>ACQUISTI IN ECONOMIA  APP.RE BIOMEDICHE AZIENDA USL</t>
  </si>
  <si>
    <t>DISTELCO S.R.L.</t>
  </si>
  <si>
    <t>NORIS SRL</t>
  </si>
  <si>
    <t>HILL-ROM SPA</t>
  </si>
  <si>
    <t>TECNOLOGIE OSPEDALIERE SRL</t>
  </si>
  <si>
    <t>Getinge Italia Srl</t>
  </si>
  <si>
    <t>ATTIVITA' PROGRAMMATE SU APP.RE BIOM.AZIENDA USLPREV/TARATURE/CONVALIDE</t>
  </si>
  <si>
    <t>ELETTRONICA BIO MEDICALE SPA</t>
  </si>
  <si>
    <t>TRASLOCHI / TRASFERIMENTI APP.RE BIOMED. AZIENDA USL</t>
  </si>
  <si>
    <t>CENTRAL ACOUSTIC 2000 S.R.L.</t>
  </si>
  <si>
    <t>ADJUTOR s.r.l.</t>
  </si>
  <si>
    <t>R.EL. S.N.C. DI BONVICINI CLAUDIO</t>
  </si>
  <si>
    <t>TECNOHEALTH SRL</t>
  </si>
  <si>
    <t>simad s.r.l.</t>
  </si>
  <si>
    <t>BIOMED SERVICE S.N.C. DI RINALDI R.</t>
  </si>
  <si>
    <t>TOPCON B.V. ITALIAN BRANCH</t>
  </si>
  <si>
    <t>TECWARE DI MARCO CAGLIARI</t>
  </si>
  <si>
    <t>PHYSIO-CONTROL ITALY SALES s.r.l.</t>
  </si>
  <si>
    <t>I.M. MEDICAL SAS</t>
  </si>
  <si>
    <t>MORGAN ITALIA SRL</t>
  </si>
  <si>
    <t>RIMEC S.R.L.</t>
  </si>
  <si>
    <t>MPIM SRL</t>
  </si>
  <si>
    <t>AFFIDAMENTI DIRETTI  APP.RE BIOM. AUSL MERCATO ELETTRONICO( ODA )</t>
  </si>
  <si>
    <t>EUROGLASS SRL</t>
  </si>
  <si>
    <t>BLIFE SRL</t>
  </si>
  <si>
    <t>SENECO SRL</t>
  </si>
  <si>
    <t>TECNO-LAB SRL</t>
  </si>
  <si>
    <t>MEDIKRON S.R.L.</t>
  </si>
  <si>
    <t>BIOSKIN ITALIA S.R.L.</t>
  </si>
  <si>
    <t>Fisher&amp;Paykel Healthcare S.A.S.</t>
  </si>
  <si>
    <t>MEDIGAS</t>
  </si>
  <si>
    <t>LAERDAL</t>
  </si>
  <si>
    <t>EL-CHIMIE SRL</t>
  </si>
  <si>
    <t>BERTOCCHI ELETTROMED.SRL</t>
  </si>
  <si>
    <t>E.M.S. Srl</t>
  </si>
  <si>
    <t>MICROMED s.r.l.</t>
  </si>
  <si>
    <t>ODONTO SERVICE SNC</t>
  </si>
  <si>
    <t>FORNASINI ROBERTO REFRIGERAZIONE</t>
  </si>
  <si>
    <t>NIKON  INSTRUMENTS S.P.A</t>
  </si>
  <si>
    <t>NIHON KOHDEN ITALIA SRL con Socio Unico</t>
  </si>
  <si>
    <t>MAGIC FLASH SNC</t>
  </si>
  <si>
    <t>LUMENIS ITALY SRL</t>
  </si>
  <si>
    <t>EL. EN. SPA</t>
  </si>
  <si>
    <t>Cat Medical Systems S.p.A</t>
  </si>
  <si>
    <t>TONI RENZO</t>
  </si>
  <si>
    <t>MAW S.N.C. DI RUBINI MARIO &amp; C.</t>
  </si>
  <si>
    <t>BARD S.P.A.</t>
  </si>
  <si>
    <t>IMS S.R.L.</t>
  </si>
  <si>
    <t>WEEMED SRL</t>
  </si>
  <si>
    <t>E-Med</t>
  </si>
  <si>
    <t>D.I.M.E.D. SRL</t>
  </si>
  <si>
    <t>GE HEALTHCARE CLINICAL SYSTEMS SRL</t>
  </si>
  <si>
    <t>S.I.A.S. SocietÃ  Italiana Apparecchi Scientifici S.p.A.</t>
  </si>
  <si>
    <t>CHINESPORT SPA</t>
  </si>
  <si>
    <t>SVAS BIOSANA SPA</t>
  </si>
  <si>
    <t>BIOTRON S.R.L.</t>
  </si>
  <si>
    <t>SERVICE DENTAL SRL</t>
  </si>
  <si>
    <t>TRESCAL MS S.R.L. A SOCIO UNICO</t>
  </si>
  <si>
    <t>M.B. DENTAL s.n.c.</t>
  </si>
  <si>
    <t>SIRI SpA</t>
  </si>
  <si>
    <t>L'ACN L'ACCESSORIO NUCLEARE S.R.L.</t>
  </si>
  <si>
    <t>Labat S.r.l.</t>
  </si>
  <si>
    <t>Hettich Italia S.r.l.</t>
  </si>
  <si>
    <t>FAVERO HEALTH PROJECTS S.P.A.</t>
  </si>
  <si>
    <t>LYNX SRL</t>
  </si>
  <si>
    <t>Malvestio S.p.a.</t>
  </si>
  <si>
    <t>MORTARA INSTRUMENT EUROPE SRLC/DED MOD.1</t>
  </si>
  <si>
    <t>HITACHI MEDICAL SYSTEMS S.p.A.</t>
  </si>
  <si>
    <t>Crimo Italia s.r.l.</t>
  </si>
  <si>
    <t>MASIMO EUROPE LTD</t>
  </si>
  <si>
    <t>Medrad Italia Srl</t>
  </si>
  <si>
    <t>TOSHIBA MEDICAL SYSTEMS S.R.L.</t>
  </si>
  <si>
    <t>SERVICE MED SPA</t>
  </si>
  <si>
    <t>BIOSONIC S.R.L.C/DED MOD. 2</t>
  </si>
  <si>
    <t>ARJOHUNTLEIGH SPA</t>
  </si>
  <si>
    <t>CO PROGET DI GUIZZARDI FABIOC/DED MOD.1</t>
  </si>
  <si>
    <t>POLYOFTALMICA NEW S.R.L.</t>
  </si>
  <si>
    <t>TEKLIFE MEDICAL Srl</t>
  </si>
  <si>
    <t>EL.MED. GARDA SRL</t>
  </si>
  <si>
    <t>SORIN GROUP ITALIA SRL</t>
  </si>
  <si>
    <t>MEDITECK SRL</t>
  </si>
  <si>
    <t>TEMA SINERGIE S.p.A.</t>
  </si>
  <si>
    <t>EUROCHIMICA SRL</t>
  </si>
  <si>
    <t>COMECER S.P.A.</t>
  </si>
  <si>
    <t>ECOPLUS S.R.L.</t>
  </si>
  <si>
    <t>MAINI NICOLA</t>
  </si>
  <si>
    <t>BIOSCIENTIFICA SRL</t>
  </si>
  <si>
    <t>BIOIDEA SNC DI G. SOFFIENTINI &amp;C</t>
  </si>
  <si>
    <t>BS Medical S.r.l.</t>
  </si>
  <si>
    <t>BIOANALITICA STRUMENTI SRL</t>
  </si>
  <si>
    <t>ZIEHM IMAGING SRL</t>
  </si>
  <si>
    <t>PERKIN ELMER ITALIA SPA</t>
  </si>
  <si>
    <t>COBAMS S.R.L.C/DED MOD.1</t>
  </si>
  <si>
    <t>FISIOPRESS S.A.S.DI A.OFFIDANI &amp; C.</t>
  </si>
  <si>
    <t>GN HEARING SRL</t>
  </si>
  <si>
    <t>I.M.S. INTERN.LE MEDICO SCIENTIFICA</t>
  </si>
  <si>
    <t>MEDICAIR CENTRO S.r.l.</t>
  </si>
  <si>
    <t>MEDICAL LISI DI FRANCESCO LISI</t>
  </si>
  <si>
    <t>MICROMED SERVICE S.N.C. DI BARTOLIN</t>
  </si>
  <si>
    <t>S.I.T. - SORDINA IORT TECHNOLOGIES SPA</t>
  </si>
  <si>
    <t>SPACELABS HEALTHCARE SRL</t>
  </si>
  <si>
    <t>SYNOPO S.p.A.</t>
  </si>
  <si>
    <t>TECN.O. S.R.L.</t>
  </si>
  <si>
    <t>Zuccato HC S.R.L.</t>
  </si>
  <si>
    <t>COSMED S.R.L.</t>
  </si>
  <si>
    <t>INTERMED S.R.L.</t>
  </si>
  <si>
    <t>LEGNANI UMBERTO S.RLC/DED MOD.1</t>
  </si>
  <si>
    <t>STEELCO SPA</t>
  </si>
  <si>
    <t>STED Servizi e Tecnologie Elettromedicali S.r.l.</t>
  </si>
  <si>
    <t>RUNNER SRL</t>
  </si>
  <si>
    <t>SONOSITE ITALY S.R.L.</t>
  </si>
  <si>
    <t>BODYTECH SRL</t>
  </si>
  <si>
    <t>CSN INDUSTRIE S.R.L.</t>
  </si>
  <si>
    <t>EMMECI 4 SRL</t>
  </si>
  <si>
    <t>LABORATORI IRCSS . CDC 15041206 INTERVENTI E MATERIALI APP.BIOMEDICALI</t>
  </si>
  <si>
    <t>EXACTA+OPTECH Labcenter SpA</t>
  </si>
  <si>
    <t>GETINGE SPA</t>
  </si>
  <si>
    <t>TECHNOGYM SPA</t>
  </si>
  <si>
    <t>ECONOMATO-LOGISTICA-ALB</t>
  </si>
  <si>
    <t>TRASPORTI FUNEBRI DONATORI DI ORGANIO PER RISCONTRO DIAGNOSTICO</t>
  </si>
  <si>
    <t>ARMAROLI-TAROZZI srl UNIPERSONALE</t>
  </si>
  <si>
    <t>CANONE TELEPASS</t>
  </si>
  <si>
    <t>PEDAGGI AUTOSTRADALI</t>
  </si>
  <si>
    <t>Autostrade per l'Italia Spa</t>
  </si>
  <si>
    <t>FORNITURA DI GHIACCIO SECCODITTA DRYCE ITALIA SRL</t>
  </si>
  <si>
    <t>NOLEGGIO E SANIFICAZIONE MATERASSI ANTIDECUBITO E LETTI TERAPEUTICI</t>
  </si>
  <si>
    <t>l'importo del CIG di â‚¬ 55.000 era relativo al periodo 1/1/2012 - 31/12/2013. Il totale liquidato per i due anni Ã¨ pari a â‚¬ 72.796.10 + IVA</t>
  </si>
  <si>
    <t>BOLOGNA ONORANZE IMPRESA FUNEBRE</t>
  </si>
  <si>
    <t>ABBONAMENTI A RIVISTE - ANNO 2013</t>
  </si>
  <si>
    <t>EDINFORM S.A.S.</t>
  </si>
  <si>
    <t>AGENZIA DI ONORANZE FUNEBRI SODO DI</t>
  </si>
  <si>
    <t>ONORANZE FUNEBRI CABASSI GIANCARLO</t>
  </si>
  <si>
    <t>GARUTI SRL UNIPERSONALEONORANZE FUNEBRI</t>
  </si>
  <si>
    <t>ONORANZE FUNEBRI ALTINI SAS</t>
  </si>
  <si>
    <t>TRASPOTO SMALTIMENTO RIFIUTI ditta PASSERINI</t>
  </si>
  <si>
    <t>PASSERINI RECUPERI S.R.L.</t>
  </si>
  <si>
    <t>GARISENDA ONORANZE FUNEBRI SRL</t>
  </si>
  <si>
    <t>ONORANZE FUNEBRI BORGHI</t>
  </si>
  <si>
    <t>ONORANZE FUNEBRI ZANOTTI CLAUIO</t>
  </si>
  <si>
    <t>EC 2013 MATERIALE SANITARIO ECONOMALEC/EC 41001900 PRG 249</t>
  </si>
  <si>
    <t>EC 2013 ALTRE MANUTENZIONI (BENI MOBILI)C/EC 41201800 PRG 10647</t>
  </si>
  <si>
    <t>Xservice srl</t>
  </si>
  <si>
    <t>EC 2013 MATERIALE SANITARIO NON INVENTARIABILEC/EC 41001950 PRG 161</t>
  </si>
  <si>
    <t>EC 2013 MATERIALE DI GUARDAROBAC/EC 41002300 PRG 164</t>
  </si>
  <si>
    <t>Kaster s.r.l.</t>
  </si>
  <si>
    <t>CARDIOLINE S.P.A.</t>
  </si>
  <si>
    <t>BETATEX S.P.A.</t>
  </si>
  <si>
    <t>DE SOUTTER MEDICAL LTD ITALIA</t>
  </si>
  <si>
    <t>ACQUISTO MATERIALE PER LARINGOSCOPIC.E. 41001900</t>
  </si>
  <si>
    <t>SENSORMEDICS ITALIA S.R.L.</t>
  </si>
  <si>
    <t>MANUTENZIONE E RIPARAZIONE FAXC/EC 41201800</t>
  </si>
  <si>
    <t>ECO S.R.L.</t>
  </si>
  <si>
    <t>ACQUISTO ACCESSORI PER FLUSSIMETRIC.E. 41001900</t>
  </si>
  <si>
    <t>EC 2013 MANUTENZIONE IMPIANTI E MACCHINARI NON SANITARIC/EC 41201200 PRG 10523</t>
  </si>
  <si>
    <t>ACQUISTO PRESIDI PER LAVASTRUMENTIC.E. 41002100</t>
  </si>
  <si>
    <t>ACQUISTO ELEMENTI  FILTRANTIC.E. 41001900</t>
  </si>
  <si>
    <t>THERMO FISHER SCIENTIFIC SPADED. 1</t>
  </si>
  <si>
    <t>EC 2013 ATTREZZATURE TECNICO ECONOMALI NON INVENTARIABILIC/EC 41002900 PRG 157</t>
  </si>
  <si>
    <t>BERTONI SICUREZZA S.R.L.</t>
  </si>
  <si>
    <t>ACQUISTO MATERIALE PER EMATOLOGIAC.E. 41001900</t>
  </si>
  <si>
    <t>MATERIALE FOTOGRAFICO PER RADIOLOGIAc.e. 41001300</t>
  </si>
  <si>
    <t>FOTOVIDEOMANIA DI VALERIO ZANNAC/DED MOD.4</t>
  </si>
  <si>
    <t>SIR OFTALMICA srl</t>
  </si>
  <si>
    <t>ACQUISTO DISPOSITIVI MEDICI IN SILICONEC.E. 41001900</t>
  </si>
  <si>
    <t>ACQUISTO PELLICOLE PER DOSIMETRIAC.E. 41001300</t>
  </si>
  <si>
    <t>ACQUISTO CARAFFE POLICARBONATOC.E. 41002200</t>
  </si>
  <si>
    <t>FALLIMENTO BRUNETTI P.G.SRL IN ES.PC/DED MOD.7</t>
  </si>
  <si>
    <t>OSD CUSTOMER SERVICE SRLCONTO DED MOD.1</t>
  </si>
  <si>
    <t>EC 2013 MATERIALE RADIOGRAFICO E DIAGNOSTICO DI RADIOLOGIAC/EC 41001300 PRG 171</t>
  </si>
  <si>
    <t>EC 2013 GIORNALI, RIVISTE ED OPERE MULTIMEDIALIC/EC 41902000- PRG 10520</t>
  </si>
  <si>
    <t>ACQUISTO COPERTE TERMICHEc.e. 41001900</t>
  </si>
  <si>
    <t>ERGOCOM S.R.L.</t>
  </si>
  <si>
    <t>ACQUISTO ARTICOLI IN GOMMA PER USO SANITARIOC.E. 41001900</t>
  </si>
  <si>
    <t>EC 2013 ALTRI SERVIZI TECNICIC/EC 41202900 PRG 10476</t>
  </si>
  <si>
    <t>PINSILIKE SRL</t>
  </si>
  <si>
    <t>ACQUISTO DISPOSITIVI DI PROTEZIONE INDIVIDUALE C/EC 41002300</t>
  </si>
  <si>
    <t>MG ANTIFORTUNISTICA</t>
  </si>
  <si>
    <t>ACQUISTO ARTICOLI PER UFFICIOC.E. 41002900</t>
  </si>
  <si>
    <t>G.B. CARTA CANCELLERIA SRLDED. 1</t>
  </si>
  <si>
    <t>ACQUISTO ARTICOLI PER FASCIATURA E BENDAGGIOC.E. 41001900</t>
  </si>
  <si>
    <t>WELLNESS LAB SRL(CONTO DED.MOD.1)</t>
  </si>
  <si>
    <t>ALLEMANO METROLOGY SRL</t>
  </si>
  <si>
    <t>ACQUISTO DISPOSITIVI MEDICIC.E. 41001900</t>
  </si>
  <si>
    <t>MEDICA VALEGGIA S.P.A.(CONDO DEDICATO MOD.1)</t>
  </si>
  <si>
    <t>ACQUISTO MASCHERE TERMOPLASTICHEC.E. 41001900</t>
  </si>
  <si>
    <t>DKP S.r.l. a socio unico</t>
  </si>
  <si>
    <t>ACQUISTO RICAMBI PER CARDIOTOCOGRAFIC.E. 41001950</t>
  </si>
  <si>
    <t>SIARE ENGINEERING INTERNATIONAL GROUP S.R.L.</t>
  </si>
  <si>
    <t>EC 2013 COSTI AMMINISTRATIVI SPESE DI RAPPRESENTANZAC/EC 41902700 PRG 10720</t>
  </si>
  <si>
    <t>PASTICCERIA LAGANA' E C. SAS</t>
  </si>
  <si>
    <t>FRANCESCHINI ANGELO S.N.C.(CONTO DED.1)</t>
  </si>
  <si>
    <t>ACQUISTO DISPOSITIVI MEDICI PER RACCOLTA LIQUIDIC/EC 41001900</t>
  </si>
  <si>
    <t>BIO EXE SRLC/DED MOD. 1</t>
  </si>
  <si>
    <t>SERVIZIO MANUTENZIONE FAXC.E. 41201800 PRG. 10647</t>
  </si>
  <si>
    <t>OFFICE EVOLUTION SRL</t>
  </si>
  <si>
    <t>ACQUISTO MATERIALE DI CONSUMO PER NEURONAVIGATOREC.E. 41001900 PRG. 249</t>
  </si>
  <si>
    <t>Acquisto boccagli per apparato respiratorioc.e. 41001900</t>
  </si>
  <si>
    <t>MIELE ITALIA SRL</t>
  </si>
  <si>
    <t>AIR LIQUIDE MEDICAL SYSTEMS S.P.A.(EX MARKOS MEFAR)</t>
  </si>
  <si>
    <t>ACQUISTO PRESIDI SANITARI PER OCULISTICAC.E. 41001950</t>
  </si>
  <si>
    <t>EC 2013 PUBBLICITA' ED INSERZIONIC/EC 41902100 PRG 10751</t>
  </si>
  <si>
    <t>MULTIRADIO S.R.L.</t>
  </si>
  <si>
    <t>ACQUISTO MATERIALE PER MEDICINA DELLO SPORTC.E. 41002800</t>
  </si>
  <si>
    <t>TRACK &amp; FIELD SRL</t>
  </si>
  <si>
    <t>SERVIZIO MANUTENZIONE CARROZZINEC.E. 41201800</t>
  </si>
  <si>
    <t>EC 2013 CARTA CANCELLERIA E STAMPATIC/EC 41002500 PRG 160</t>
  </si>
  <si>
    <t>TIPO-LITOGRAFIA MUSIANI</t>
  </si>
  <si>
    <t>CORTE SAMOGGIA SRL</t>
  </si>
  <si>
    <t>ACQUISTO CONSUMABILI PER SET AEROSOLC.E. 41001900</t>
  </si>
  <si>
    <t>ELESTA SRL</t>
  </si>
  <si>
    <t>ACQUISTO CD E RIBBON PER SIST. GESTIONE IMMAGINI RADIOLOGIAC/EC 41002600</t>
  </si>
  <si>
    <t>MEDICAL IMAGING SRL</t>
  </si>
  <si>
    <t>EC 2013 ALTRO MATERIALE NON SANITARIOC/EC 41002800 PRG 158</t>
  </si>
  <si>
    <t>NICOLETTI MASSIMO</t>
  </si>
  <si>
    <t>ACQUISTO DISPOSITIVI  ANTIDECUBITOC.E. 41001900</t>
  </si>
  <si>
    <t>MANUTENZIONE APPARECCHI FAX</t>
  </si>
  <si>
    <t>ACQUISTO ELETTRODOMESTICIC/EC 110208000</t>
  </si>
  <si>
    <t>VENTURA ELETTRODOMESTICI SRLC/DED MOD.2</t>
  </si>
  <si>
    <t>ACQUISTO CARTA CROMATOGRAFICAC.E. 41001900</t>
  </si>
  <si>
    <t>AGILENT TECHNOLOGIES</t>
  </si>
  <si>
    <t>ACQUISTO CANCELLERIA VARIAC.E 41002900</t>
  </si>
  <si>
    <t>F.LLI BIAGINI SRL</t>
  </si>
  <si>
    <t>EC.2013 ECONOMIE ARREDI A CONTO PATRIMONIALE11020500</t>
  </si>
  <si>
    <t>REGINA HOTEL - ZANHOTEL S.R.L.HOTEL &amp; MEETING CENTERGROSS</t>
  </si>
  <si>
    <t>ACQUISTO ATTREZZATTURE PER FARMACIAC.E. 11020800</t>
  </si>
  <si>
    <t>FAGRON ITALIA SRL</t>
  </si>
  <si>
    <t>YAKATA DI BIAGIO MARONE</t>
  </si>
  <si>
    <t>ASSOCIAZIONE CULTURALE OTTOMANI</t>
  </si>
  <si>
    <t>ACQUISTO STRUMENTARIO PER CHIRURGIA OCULISTICAC.E. 41001950</t>
  </si>
  <si>
    <t>le pagine cooperativa sociale a r.l.</t>
  </si>
  <si>
    <t>D.R.M. S.R.L.</t>
  </si>
  <si>
    <t>Nazareno Work Soc. Coop. Sociale</t>
  </si>
  <si>
    <t>SERVIZI MANUTENZIONE ARREDI E ATTREZZATURE SANITARIEC.E. 41201800</t>
  </si>
  <si>
    <t>CER MEDICAL srl</t>
  </si>
  <si>
    <t>ACQUISTO  FILTRI  PER  ARMADI  SANITARIC.E. 41001900</t>
  </si>
  <si>
    <t>Labor Security System srl</t>
  </si>
  <si>
    <t>PIAZZETTA ESEDRA SRL</t>
  </si>
  <si>
    <t>SERVIZIO MANUTENZIONE E TARATURA STRUMENTIC.E. 41201300</t>
  </si>
  <si>
    <t>TRESCAL SRL</t>
  </si>
  <si>
    <t>FORNARI LUCIANO &amp; C SASCONTO DEDICATO MOD.2</t>
  </si>
  <si>
    <t>ACQUISTO  DISPOSITIVI IMMOBILIZZAZIONE PER TAVOLI OPERATORIC.E. 41001900</t>
  </si>
  <si>
    <t>DIMA Italia srl</t>
  </si>
  <si>
    <t>PASTICCERIA REPUBBLICA SRL</t>
  </si>
  <si>
    <t>EC.2013 ECONOMIE ALTRE IMMOBILIZZAZIONI MATERIALICONTO PATRIMONIALE 11020800</t>
  </si>
  <si>
    <t>HT ITALIA SRL</t>
  </si>
  <si>
    <t>M.T.V. MEDICAL SRLDED. 2</t>
  </si>
  <si>
    <t>BIPER COOP SOC.COOP.VA</t>
  </si>
  <si>
    <t>ACQUISTO MATERIALE PER RIABILITAZIONEC.E. 41201800</t>
  </si>
  <si>
    <t>FUMAGALLI SRL</t>
  </si>
  <si>
    <t>ACQUISTO CONTENITORI DIVERSI PER ORGANIC.E. 41001900</t>
  </si>
  <si>
    <t>ACQUISTO ATTREZZATURE  TEST ED ACQUISIZIONE DATI  PER 118C.E. 11020800</t>
  </si>
  <si>
    <t>MSA ITALIA SRL</t>
  </si>
  <si>
    <t>CORBIS ITALIA SRL</t>
  </si>
  <si>
    <t>ACQUISTO ARREDI PER LOCALI SANITARIC.E. 11020500</t>
  </si>
  <si>
    <t>MASCAGNI SPA</t>
  </si>
  <si>
    <t>MANUTENZIONE OROLOGI MARCATEMPOC.E. 41201200</t>
  </si>
  <si>
    <t>ACQUISTO DISPOSITIVI MEDICI PER RIANIMAZIONEC.E. 41001950</t>
  </si>
  <si>
    <t>ACQUISTO MATERIALE SANITARIOC.E. 41001950</t>
  </si>
  <si>
    <t>BERCHTOLD Italia</t>
  </si>
  <si>
    <t>ACQUISTO AUSILI ALLA RESPIRAZIONEC.E. 41001900</t>
  </si>
  <si>
    <t>DIMAR SRL</t>
  </si>
  <si>
    <t>RECOM INDUSTRIALE S.R.L.</t>
  </si>
  <si>
    <t>GRAFICHE BARONCINI SRLC/DED. MOD.2</t>
  </si>
  <si>
    <t>ACQUISTO ELETTRODI AD USO SANITARIOC.E. 41001900</t>
  </si>
  <si>
    <t>MANUTENZIONE STRUMENTI DI LABORATORIOC.E. 41201300</t>
  </si>
  <si>
    <t>ELDES INSTRUMENTS SRL</t>
  </si>
  <si>
    <t>ACQUISTO CONSUMABILI PER PEDIATRIA E OSTETRICIAC.E. 41001900</t>
  </si>
  <si>
    <t>SERVIZIO MANUTENZIONE ELETTRODOMESTICIC.E. 41201200 PRG. 10523</t>
  </si>
  <si>
    <t>ALDROVANDI DI CERVELLATI ROBERTO &amp;C. S.N.C.</t>
  </si>
  <si>
    <t>ACQUISTO TELI DI COPERTURA STERILI PER SALA OPERATORIAC.E. 41001900 PROG. 249</t>
  </si>
  <si>
    <t>ACQUISTO PRESIDI SANITARIC.E. 41002800</t>
  </si>
  <si>
    <t>ACQUISTO CARTE STRADALI PER 118C.E. 41002500</t>
  </si>
  <si>
    <t>UNION CARDS DI RUCCI</t>
  </si>
  <si>
    <t>MANUTENZIONE SENSORI PORTATILIC.E. 41201300</t>
  </si>
  <si>
    <t>LSI LASTEM SRLDED. 1</t>
  </si>
  <si>
    <t>LA CASONA GROUP S.R.L.</t>
  </si>
  <si>
    <t>ARCE DI NASSI S.R.LC/DED.MOD.2</t>
  </si>
  <si>
    <t>ACQUISTO DISPOSITIVI E MATERIALE USO SANITARIOC.E. 41001900</t>
  </si>
  <si>
    <t>ACQUISTO PRESIDI SANITARI PER IMMOBILIZZAZIONEC.E. 41001900</t>
  </si>
  <si>
    <t>ACQUISTO PRESIDI SANITARI ECONOMALIC.E. 41001900</t>
  </si>
  <si>
    <t>MOLINARI ELETTROMEDICALI SNC</t>
  </si>
  <si>
    <t>CRYOFARM SRL</t>
  </si>
  <si>
    <t>ENTE MOSTRA INTERNAZIONALE CINEMAC/O CINETECA COMUNALE</t>
  </si>
  <si>
    <t>LIMA SM SPA</t>
  </si>
  <si>
    <t>SERVIZIO TARATURA STRUMENTI PER SANITA' PUBBLICAC.E. 41201300</t>
  </si>
  <si>
    <t>NEMKO SPA</t>
  </si>
  <si>
    <t>FORNO FERRARI SNC</t>
  </si>
  <si>
    <t>EC 2013 MATERIALE DI CONVIVENZA E MONOUSOC/EC 41002200 PRG 152</t>
  </si>
  <si>
    <t>MAESTRI DOMENICAC/DED. MOD.4</t>
  </si>
  <si>
    <t>ACQUISTO MATERIALE SANITARIO TECNICO ECONOMALEC.E. 41001900</t>
  </si>
  <si>
    <t>ALBO LAND SRL(CONTO DED.MOD.2)</t>
  </si>
  <si>
    <t>ENERSYS SRL</t>
  </si>
  <si>
    <t>ACQUISTO DISPOSITIVI PER RESPIRAZIONE ASSISTITAC.E. 41001900</t>
  </si>
  <si>
    <t>ACQUISTO MATERIALE PER ANALISI DI ANATOMIA PATOLOGICAC.E. 41002500</t>
  </si>
  <si>
    <t>EC 2013 MANUTENZIONE AUTOMEZZIC/EC 41201600 PRG 10522</t>
  </si>
  <si>
    <t>CARROZZERIA BELTRAMI DI BELTRAMI ST</t>
  </si>
  <si>
    <t>ACQUISTO PRESIDI RACCOLTA LIQUIDIC.E. 41001900</t>
  </si>
  <si>
    <t>DISPRO SRL</t>
  </si>
  <si>
    <t>ACQUISTO TEST PSICOLOGICIC.E. 41902000</t>
  </si>
  <si>
    <t>EC 2013 MANUTENZIONE ATTREZZATURE SANITARIEC/EC 41201300 PRG 254</t>
  </si>
  <si>
    <t>TECNOPOUND SRL</t>
  </si>
  <si>
    <t>PUBLIKOMPASS S.P.A.FILIALE DI BOLOGNA</t>
  </si>
  <si>
    <t>BONONIA UNIVERSITY PRESS</t>
  </si>
  <si>
    <t>IIPLE  IST.PROF.LE LAV.EDILI PROV.B</t>
  </si>
  <si>
    <t>ACQUISTO MISURATORI  A LASERC.E. 41002900</t>
  </si>
  <si>
    <t>TEOREMA SRL "TOPCENTER"DED. 2</t>
  </si>
  <si>
    <t>PROMOUNTAIN SNC DI ANTOLINI E CORRA</t>
  </si>
  <si>
    <t>ACQUISTO STRUMENTI CHIRURGIA OCULISTICAC.E. 41001950</t>
  </si>
  <si>
    <t>INTRADOC.SRLC/DED.MOD.1</t>
  </si>
  <si>
    <t>KLINICOM S.R.L.CONTO DEDICATO MOD.1</t>
  </si>
  <si>
    <t>ACQUISTO ATTREZZATURE PER DISABILIC.E. 11020500</t>
  </si>
  <si>
    <t>Barbieri Srl</t>
  </si>
  <si>
    <t>ACQUISTO ARREDI SANITARI PER EMERGENZAC.E. 11020500</t>
  </si>
  <si>
    <t>ACQUISTO DISPOSITIVI CONSUMABILI PER PEDIATRIAC.E. 41001900</t>
  </si>
  <si>
    <t>CB TECNICA SNC di BOCCAFOGLIA MARCO, CAVICCHI ANDREA &amp;C</t>
  </si>
  <si>
    <t>SERVIZI DI MANUTENZIONE ATTREZZATUREC.E. 41201200</t>
  </si>
  <si>
    <t>SERVIZIO RIPARAZIONE MATERIALE VIDEO OTTICAC.E. 41201800</t>
  </si>
  <si>
    <t>SA.DI.CA. SRL</t>
  </si>
  <si>
    <t>ACQUISTO DISPOSITIVI MEDICI PER NEUROLOGIAC.E. 41001900</t>
  </si>
  <si>
    <t>MEGA + SRL</t>
  </si>
  <si>
    <t>BERTI ANGIOLO</t>
  </si>
  <si>
    <t>ESTERNAZIONE SAS DI PELOSO AUGUSTOSTEFANO &amp; C.</t>
  </si>
  <si>
    <t>SERVIZIO DI MANUTENZIONE ANALIZZATORI DI FUMI E GASC.E. 41201200</t>
  </si>
  <si>
    <t>EUROTRON INSTRUMENTS SRLC/DED.MOD.2</t>
  </si>
  <si>
    <t>ACQUISTO PRESIDI MEDICI VARIC.E. 41001900</t>
  </si>
  <si>
    <t>ACQUISTO DISPOSITIVI PROTEZIONE INDIVIDUALEC.E. 41002300</t>
  </si>
  <si>
    <t>LEGA SRL COSTRUZIONI APISTICHE</t>
  </si>
  <si>
    <t>RIGHI PAOLO  MERIDIANA IMMAGINIAGENZIA FOTOGIORNALISTICA</t>
  </si>
  <si>
    <t>SERVIZIO MANUTENZIONE COMPRESSORI AD USO SANITARIOC.E. 41201200</t>
  </si>
  <si>
    <t>KOMPRESSOR SERVICE SASDED. 1</t>
  </si>
  <si>
    <t>METTLER TOLEDO S.P.A.</t>
  </si>
  <si>
    <t>ACQUISTO DISPOSITIVI PROTEZIONE INDIVIDUALEC/EC 41002300</t>
  </si>
  <si>
    <t>TICINOGROUP SRL</t>
  </si>
  <si>
    <t>Concessionaria Speed spa</t>
  </si>
  <si>
    <t>ACQUISTO ACCESSORI FOTOCAMERE DIGITALIC/EC 41002900</t>
  </si>
  <si>
    <t>L'IMMAGINE SAS DI MALFERRARI</t>
  </si>
  <si>
    <t>ACQUISTO ELETTRODI MONOUSOC.E. 41001900</t>
  </si>
  <si>
    <t>MICROPOST S.R.L.</t>
  </si>
  <si>
    <t>SERVIZI MUSEALI SOC.COOP.ARL</t>
  </si>
  <si>
    <t>ACQUISTO DISPOSITIVI PER ENDOSCOPIA DEL RETTOC.E. 41001900</t>
  </si>
  <si>
    <t>ACQUISTO MATERIALE DA CAMPO PER EMERGENZEc.e. 41002800</t>
  </si>
  <si>
    <t>EDY S.P.A.</t>
  </si>
  <si>
    <t>ACQUISTO RICAMBI PER ELETTROCARDIOGRAFIC.E. 41001950</t>
  </si>
  <si>
    <t>HERA SPA</t>
  </si>
  <si>
    <t>ACQUISTO ELETTRODI E BATTERIE PER DEFIBRILLATORIc.e. 41001900</t>
  </si>
  <si>
    <t>ACQUISTO MASCHERE E DISPOSITIVI RESPIRATORIC.E. 41001900</t>
  </si>
  <si>
    <t>ACQUISTO MATERIALE SANITARIO PER CONSERVAZIONE SANGUEC.E. 41001900</t>
  </si>
  <si>
    <t>B.B.s. srl</t>
  </si>
  <si>
    <t>ACQUISTO DISPOSITIVI ELIMINACODEC.E. 41002900</t>
  </si>
  <si>
    <t>EC 2013 ALTRI SERVIZI TECNICI/EC 41202900 PRG 10476</t>
  </si>
  <si>
    <t>ACQUISTO PRESIDI SANITARIC.E. 41001950</t>
  </si>
  <si>
    <t>ACQUISTO DISPOSITIVI MEDICI PER SALA PARTOC.E. 41001900</t>
  </si>
  <si>
    <t>PHARMAGIC S.R.L.</t>
  </si>
  <si>
    <t>MANUTENZIONE ELETTROARCHIVIC.E. 41201200</t>
  </si>
  <si>
    <t>TECNOSAMA di Claudio Grandini</t>
  </si>
  <si>
    <t>HACKERMANN &amp; BILD S.R.L.</t>
  </si>
  <si>
    <t>BEACMED SRL</t>
  </si>
  <si>
    <t>ACQUISTO SCATOLE PORTAPROVETTE PER VETERINARIC.E. 41002500</t>
  </si>
  <si>
    <t>LAURINI SCATOLIFICIO</t>
  </si>
  <si>
    <t>ACQUISTO CALCOLATRICI DA TAVOLOC.E. 41002900</t>
  </si>
  <si>
    <t>VIDEOSOUND &amp; C. S.R.L.</t>
  </si>
  <si>
    <t>ACQUISTO PIASTRE PER ELETTROBISTURIC.E. 41001900</t>
  </si>
  <si>
    <t>DENTAL TREY SRL</t>
  </si>
  <si>
    <t>ITALY ELECTRON OPTICS-LAB. DI CATTI</t>
  </si>
  <si>
    <t>ACQUISTO  MATERIALE  DI  CONSUMO  PER  ECGC.E. 41001900</t>
  </si>
  <si>
    <t>ACQUISTO DISPOSITIVI PER IGIENE ORALEC.E. 41001900</t>
  </si>
  <si>
    <t>ACQUISTO ACCESSORI PER STAMPAC.E. 41002500</t>
  </si>
  <si>
    <t>EC.2013 ACQ. BICICLETTE ELETTRICHE AZIENDALI CONTO 11020700AUTOMEZZI</t>
  </si>
  <si>
    <t>FARE MONDI DI PIAZZA GRANDESOC.COOP.SOCIALE DED.2</t>
  </si>
  <si>
    <t>SERVIZI DI MANUTENZIONE FABBRICATORI DI GHIACCIOC.E. 41201200</t>
  </si>
  <si>
    <t>ACQUISTO ETICHETTE AD USO SANITARIOc.e. 41002500</t>
  </si>
  <si>
    <t>ACQUISTO PORTARIFIUTI CON POSACENEREC.E. 11020500</t>
  </si>
  <si>
    <t>VASART GOZZI S.R.L.</t>
  </si>
  <si>
    <t>SERVIZIO MANUTENZIONE FAX E FOTOCOPIATRICIC.E. 41201800</t>
  </si>
  <si>
    <t>C.AR.TEC SNCC/DED MOD. 1</t>
  </si>
  <si>
    <t>ACQUISTO ATTREZZATURE PER ARCHIVIAZIONEC.E. 11020500</t>
  </si>
  <si>
    <t>MEDI DIAGNOSTICI S.R.L.Q</t>
  </si>
  <si>
    <t>ACQUISTO STRUMENTARIO CHIRURGICOC.E. 41001950</t>
  </si>
  <si>
    <t>RanD S.r.l.</t>
  </si>
  <si>
    <t>ACQUISTO MATERIALE PER TEST RESPIRAZIONEC.E. 41001900</t>
  </si>
  <si>
    <t>VIVISOL S.R.L.</t>
  </si>
  <si>
    <t>ACQUISTO SUPPORTI INFORMATICI DIVERSIC.E. 41002600</t>
  </si>
  <si>
    <t>PEGASUS MEDICAL SRLD. 2</t>
  </si>
  <si>
    <t>ACQUISTO KIT TRIAGE PER EMERGENZAC.E. 41002800</t>
  </si>
  <si>
    <t>Servizio rilevazione dati su consumi farmaceutici - CUP 2000</t>
  </si>
  <si>
    <t>24-AFFIDAMENTO DIRETTO A SOCIETA' IN HOUSE</t>
  </si>
  <si>
    <t>CUP 2000 S.P.A.</t>
  </si>
  <si>
    <t>Affidamento a CUP 2000 gestione agende specialistica e gestione consenso -2013</t>
  </si>
  <si>
    <t>Affidamento a CUP 2000  per l'  attivazione di una rete di servizi per anziani fragili e altre fasce deboli di popolazione denominata e-care</t>
  </si>
  <si>
    <t>Affidamento a CUP 2000 di servizi informatici per gestione progetti</t>
  </si>
  <si>
    <t>Affidamento a CUP 2000 di servizi informatici per  progetto gestione documentale- scrivania virtuale</t>
  </si>
  <si>
    <t>POSTE ITALIANE SPA</t>
  </si>
  <si>
    <t>ECONOMIA TRANSITORIA PROTESIC.E. 41001501 41001502 41001506</t>
  </si>
  <si>
    <t>ACQ. DIRETTO MEDICINALI SENZA AIC DA ALTRO ENTE</t>
  </si>
  <si>
    <t>AZIENDA OSPEDALIERA BOLOGNA</t>
  </si>
  <si>
    <t>ACQ. DIRETTO DISPOSITIVI MEDICI DA ALTRO ENTE</t>
  </si>
  <si>
    <t>ECONOMIE TRANSITORIE DISP.MEDICI SOLUZ. INF.CON CND41001620 P.diS. 13519</t>
  </si>
  <si>
    <t>UNIVERSITA' BOLOGNA DIP.SCIENZESTATISTICHE</t>
  </si>
  <si>
    <t>Tel Fissa - Rimborso spese telefoniche</t>
  </si>
  <si>
    <t>C.A.A.B. SCPA</t>
  </si>
  <si>
    <t>Rimborso spese fonia dati TSO + CUP.</t>
  </si>
  <si>
    <t>MANUTENZIONE/SVILUPPO/INTEGAZ. E ASSISTENZA  SW IN ECONOMIAANNO 2013 CONTO 11010300</t>
  </si>
  <si>
    <t>CASA GENERALIZIA PIO IST.PICCOLESUORE DELLA SACRA FAMIGLIA</t>
  </si>
  <si>
    <t>SANDONI IMMOBILIARE SRL</t>
  </si>
  <si>
    <t>MATERIALE PER MANUTENZIONI CORRETTIVE AZIENDA USL(CODICE 1099504)</t>
  </si>
  <si>
    <t>EC 2013 CARBURANTI E LUBRIFICANTIC/EC 41002450 PRG 10558</t>
  </si>
  <si>
    <t>CARBURANTI VECCHIETTI S.N.C.</t>
  </si>
  <si>
    <t>AZIENDA USL CITTA' DI BOLOGNA</t>
  </si>
  <si>
    <t>REVERSE SRL</t>
  </si>
  <si>
    <t>Kinemed srl</t>
  </si>
  <si>
    <t>MEDICAL 2011 SRL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</si>
</sst>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33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6" ht="15">
      <c r="A2" t="str">
        <f>"4830043592"</f>
        <v>4830043592</v>
      </c>
      <c r="B2" t="str">
        <f aca="true" t="shared" si="0" ref="B2:B65">"02406911202"</f>
        <v>02406911202</v>
      </c>
      <c r="C2" t="s">
        <v>13</v>
      </c>
      <c r="D2" t="s">
        <v>37</v>
      </c>
      <c r="E2" t="s">
        <v>38</v>
      </c>
      <c r="F2" t="s">
        <v>39</v>
      </c>
      <c r="G2" t="str">
        <f>"00617131206"</f>
        <v>00617131206</v>
      </c>
      <c r="I2" t="s">
        <v>40</v>
      </c>
      <c r="L2" t="s">
        <v>41</v>
      </c>
      <c r="M2">
        <v>297521</v>
      </c>
      <c r="AG2">
        <v>207040.59</v>
      </c>
      <c r="AH2" s="1">
        <v>41275</v>
      </c>
      <c r="AI2" s="1">
        <v>42004</v>
      </c>
      <c r="AJ2" s="1">
        <v>41638</v>
      </c>
    </row>
    <row r="3" spans="1:36" ht="15">
      <c r="A3" t="str">
        <f aca="true" t="shared" si="1" ref="A3:A10">"48403249B7"</f>
        <v>48403249B7</v>
      </c>
      <c r="B3" t="str">
        <f t="shared" si="0"/>
        <v>02406911202</v>
      </c>
      <c r="C3" t="s">
        <v>13</v>
      </c>
      <c r="D3" t="s">
        <v>37</v>
      </c>
      <c r="E3" t="s">
        <v>42</v>
      </c>
      <c r="F3" t="s">
        <v>43</v>
      </c>
      <c r="G3" t="str">
        <f>"00751410150"</f>
        <v>00751410150</v>
      </c>
      <c r="I3" t="s">
        <v>44</v>
      </c>
      <c r="L3" t="s">
        <v>45</v>
      </c>
      <c r="AJ3" s="1">
        <v>41638</v>
      </c>
    </row>
    <row r="4" spans="1:36" ht="15">
      <c r="A4" t="str">
        <f t="shared" si="1"/>
        <v>48403249B7</v>
      </c>
      <c r="B4" t="str">
        <f t="shared" si="0"/>
        <v>02406911202</v>
      </c>
      <c r="C4" t="s">
        <v>13</v>
      </c>
      <c r="D4" t="s">
        <v>37</v>
      </c>
      <c r="E4" t="s">
        <v>42</v>
      </c>
      <c r="F4" t="s">
        <v>43</v>
      </c>
      <c r="G4" t="str">
        <f>"93027710016"</f>
        <v>93027710016</v>
      </c>
      <c r="I4" t="s">
        <v>46</v>
      </c>
      <c r="L4" t="s">
        <v>45</v>
      </c>
      <c r="AJ4" s="1">
        <v>41638</v>
      </c>
    </row>
    <row r="5" spans="1:36" ht="15">
      <c r="A5" t="str">
        <f t="shared" si="1"/>
        <v>48403249B7</v>
      </c>
      <c r="B5" t="str">
        <f t="shared" si="0"/>
        <v>02406911202</v>
      </c>
      <c r="C5" t="s">
        <v>13</v>
      </c>
      <c r="D5" t="s">
        <v>37</v>
      </c>
      <c r="E5" t="s">
        <v>42</v>
      </c>
      <c r="F5" t="s">
        <v>43</v>
      </c>
      <c r="G5" t="str">
        <f>"00228060349"</f>
        <v>00228060349</v>
      </c>
      <c r="I5" t="s">
        <v>47</v>
      </c>
      <c r="L5" t="s">
        <v>45</v>
      </c>
      <c r="AJ5" s="1">
        <v>41638</v>
      </c>
    </row>
    <row r="6" spans="1:36" ht="15">
      <c r="A6" t="str">
        <f t="shared" si="1"/>
        <v>48403249B7</v>
      </c>
      <c r="B6" t="str">
        <f t="shared" si="0"/>
        <v>02406911202</v>
      </c>
      <c r="C6" t="s">
        <v>13</v>
      </c>
      <c r="D6" t="s">
        <v>37</v>
      </c>
      <c r="E6" t="s">
        <v>42</v>
      </c>
      <c r="F6" t="s">
        <v>43</v>
      </c>
      <c r="G6" t="str">
        <f>"00751160151"</f>
        <v>00751160151</v>
      </c>
      <c r="I6" t="s">
        <v>48</v>
      </c>
      <c r="L6" t="s">
        <v>45</v>
      </c>
      <c r="AJ6" s="1">
        <v>41638</v>
      </c>
    </row>
    <row r="7" spans="1:36" ht="15">
      <c r="A7" t="str">
        <f t="shared" si="1"/>
        <v>48403249B7</v>
      </c>
      <c r="B7" t="str">
        <f t="shared" si="0"/>
        <v>02406911202</v>
      </c>
      <c r="C7" t="s">
        <v>13</v>
      </c>
      <c r="D7" t="s">
        <v>37</v>
      </c>
      <c r="E7" t="s">
        <v>42</v>
      </c>
      <c r="F7" t="s">
        <v>43</v>
      </c>
      <c r="G7" t="str">
        <f>"02187920968"</f>
        <v>02187920968</v>
      </c>
      <c r="I7" t="s">
        <v>49</v>
      </c>
      <c r="J7" t="s">
        <v>50</v>
      </c>
      <c r="K7" t="s">
        <v>51</v>
      </c>
      <c r="AJ7" s="1">
        <v>41638</v>
      </c>
    </row>
    <row r="8" spans="1:36" ht="15">
      <c r="A8" t="str">
        <f t="shared" si="1"/>
        <v>48403249B7</v>
      </c>
      <c r="B8" t="str">
        <f t="shared" si="0"/>
        <v>02406911202</v>
      </c>
      <c r="C8" t="s">
        <v>13</v>
      </c>
      <c r="D8" t="s">
        <v>37</v>
      </c>
      <c r="E8" t="s">
        <v>42</v>
      </c>
      <c r="F8" t="s">
        <v>43</v>
      </c>
      <c r="G8" t="str">
        <f>"01468160393"</f>
        <v>01468160393</v>
      </c>
      <c r="I8" t="s">
        <v>52</v>
      </c>
      <c r="J8" t="s">
        <v>50</v>
      </c>
      <c r="K8" t="s">
        <v>53</v>
      </c>
      <c r="AJ8" s="1">
        <v>41638</v>
      </c>
    </row>
    <row r="9" spans="1:36" ht="15">
      <c r="A9" t="str">
        <f t="shared" si="1"/>
        <v>48403249B7</v>
      </c>
      <c r="B9" t="str">
        <f t="shared" si="0"/>
        <v>02406911202</v>
      </c>
      <c r="C9" t="s">
        <v>13</v>
      </c>
      <c r="D9" t="s">
        <v>37</v>
      </c>
      <c r="E9" t="s">
        <v>42</v>
      </c>
      <c r="F9" t="s">
        <v>43</v>
      </c>
      <c r="G9" t="str">
        <f>"00856750153"</f>
        <v>00856750153</v>
      </c>
      <c r="I9" t="s">
        <v>54</v>
      </c>
      <c r="J9" t="s">
        <v>50</v>
      </c>
      <c r="K9" t="s">
        <v>53</v>
      </c>
      <c r="AJ9" s="1">
        <v>41638</v>
      </c>
    </row>
    <row r="10" spans="1:36" ht="15">
      <c r="A10" t="str">
        <f t="shared" si="1"/>
        <v>48403249B7</v>
      </c>
      <c r="B10" t="str">
        <f t="shared" si="0"/>
        <v>02406911202</v>
      </c>
      <c r="C10" t="s">
        <v>13</v>
      </c>
      <c r="D10" t="s">
        <v>37</v>
      </c>
      <c r="E10" t="s">
        <v>42</v>
      </c>
      <c r="F10" t="s">
        <v>43</v>
      </c>
      <c r="I10" t="s">
        <v>50</v>
      </c>
      <c r="L10" t="s">
        <v>41</v>
      </c>
      <c r="M10">
        <v>1067013</v>
      </c>
      <c r="AG10">
        <v>689013</v>
      </c>
      <c r="AH10" s="1">
        <v>41334</v>
      </c>
      <c r="AI10" s="1">
        <v>44255</v>
      </c>
      <c r="AJ10" s="1">
        <v>41638</v>
      </c>
    </row>
    <row r="11" spans="1:36" ht="15">
      <c r="A11" t="str">
        <f>"4842883978"</f>
        <v>4842883978</v>
      </c>
      <c r="B11" t="str">
        <f t="shared" si="0"/>
        <v>02406911202</v>
      </c>
      <c r="C11" t="s">
        <v>13</v>
      </c>
      <c r="D11" t="s">
        <v>37</v>
      </c>
      <c r="E11" t="s">
        <v>55</v>
      </c>
      <c r="F11" t="s">
        <v>39</v>
      </c>
      <c r="G11" t="str">
        <f>"02292260599"</f>
        <v>02292260599</v>
      </c>
      <c r="I11" t="s">
        <v>56</v>
      </c>
      <c r="L11" t="s">
        <v>41</v>
      </c>
      <c r="M11">
        <v>53141</v>
      </c>
      <c r="AG11">
        <v>37205.36</v>
      </c>
      <c r="AH11" s="1">
        <v>41284</v>
      </c>
      <c r="AI11" s="1">
        <v>41670</v>
      </c>
      <c r="AJ11" s="1">
        <v>41638</v>
      </c>
    </row>
    <row r="12" spans="1:36" ht="15">
      <c r="A12" t="str">
        <f>"4842560EEA"</f>
        <v>4842560EEA</v>
      </c>
      <c r="B12" t="str">
        <f t="shared" si="0"/>
        <v>02406911202</v>
      </c>
      <c r="C12" t="s">
        <v>13</v>
      </c>
      <c r="D12" t="s">
        <v>37</v>
      </c>
      <c r="E12" t="s">
        <v>55</v>
      </c>
      <c r="F12" t="s">
        <v>39</v>
      </c>
      <c r="G12" t="str">
        <f>"03617810878"</f>
        <v>03617810878</v>
      </c>
      <c r="I12" t="s">
        <v>57</v>
      </c>
      <c r="L12" t="s">
        <v>41</v>
      </c>
      <c r="M12">
        <v>4176</v>
      </c>
      <c r="AG12">
        <v>3462</v>
      </c>
      <c r="AH12" s="1">
        <v>41284</v>
      </c>
      <c r="AI12" s="1">
        <v>41670</v>
      </c>
      <c r="AJ12" s="1">
        <v>41638</v>
      </c>
    </row>
    <row r="13" spans="1:36" ht="15">
      <c r="A13" t="str">
        <f>"4845139F2C"</f>
        <v>4845139F2C</v>
      </c>
      <c r="B13" t="str">
        <f t="shared" si="0"/>
        <v>02406911202</v>
      </c>
      <c r="C13" t="s">
        <v>13</v>
      </c>
      <c r="D13" t="s">
        <v>37</v>
      </c>
      <c r="E13" t="s">
        <v>55</v>
      </c>
      <c r="F13" t="s">
        <v>39</v>
      </c>
      <c r="G13" t="str">
        <f>"11654150157"</f>
        <v>11654150157</v>
      </c>
      <c r="I13" t="s">
        <v>58</v>
      </c>
      <c r="L13" t="s">
        <v>41</v>
      </c>
      <c r="M13">
        <v>31461</v>
      </c>
      <c r="AG13">
        <v>27144.2</v>
      </c>
      <c r="AH13" s="1">
        <v>41284</v>
      </c>
      <c r="AI13" s="1">
        <v>41670</v>
      </c>
      <c r="AJ13" s="1">
        <v>41638</v>
      </c>
    </row>
    <row r="14" spans="1:36" ht="15">
      <c r="A14" t="str">
        <f>"4842850E3B"</f>
        <v>4842850E3B</v>
      </c>
      <c r="B14" t="str">
        <f t="shared" si="0"/>
        <v>02406911202</v>
      </c>
      <c r="C14" t="s">
        <v>13</v>
      </c>
      <c r="D14" t="s">
        <v>37</v>
      </c>
      <c r="E14" t="s">
        <v>55</v>
      </c>
      <c r="F14" t="s">
        <v>39</v>
      </c>
      <c r="G14" t="str">
        <f>"11654150157"</f>
        <v>11654150157</v>
      </c>
      <c r="I14" t="s">
        <v>58</v>
      </c>
      <c r="L14" t="s">
        <v>41</v>
      </c>
      <c r="M14">
        <v>37515</v>
      </c>
      <c r="AG14">
        <v>69175.97</v>
      </c>
      <c r="AH14" s="1">
        <v>41284</v>
      </c>
      <c r="AI14" s="1">
        <v>41670</v>
      </c>
      <c r="AJ14" s="1">
        <v>41638</v>
      </c>
    </row>
    <row r="15" spans="1:36" ht="15">
      <c r="A15" t="str">
        <f>"4843390BDB"</f>
        <v>4843390BDB</v>
      </c>
      <c r="B15" t="str">
        <f t="shared" si="0"/>
        <v>02406911202</v>
      </c>
      <c r="C15" t="s">
        <v>13</v>
      </c>
      <c r="D15" t="s">
        <v>37</v>
      </c>
      <c r="E15" t="s">
        <v>55</v>
      </c>
      <c r="F15" t="s">
        <v>39</v>
      </c>
      <c r="G15" t="str">
        <f>"04874990155"</f>
        <v>04874990155</v>
      </c>
      <c r="I15" t="s">
        <v>59</v>
      </c>
      <c r="L15" t="s">
        <v>41</v>
      </c>
      <c r="M15">
        <v>2989</v>
      </c>
      <c r="AG15">
        <v>6120</v>
      </c>
      <c r="AH15" s="1">
        <v>41284</v>
      </c>
      <c r="AI15" s="1">
        <v>41670</v>
      </c>
      <c r="AJ15" s="1">
        <v>41638</v>
      </c>
    </row>
    <row r="16" spans="1:36" ht="15">
      <c r="A16" t="str">
        <f>"4843170650"</f>
        <v>4843170650</v>
      </c>
      <c r="B16" t="str">
        <f t="shared" si="0"/>
        <v>02406911202</v>
      </c>
      <c r="C16" t="s">
        <v>13</v>
      </c>
      <c r="D16" t="s">
        <v>37</v>
      </c>
      <c r="E16" t="s">
        <v>55</v>
      </c>
      <c r="F16" t="s">
        <v>39</v>
      </c>
      <c r="G16" t="str">
        <f>"00795170158"</f>
        <v>00795170158</v>
      </c>
      <c r="I16" t="s">
        <v>60</v>
      </c>
      <c r="L16" t="s">
        <v>41</v>
      </c>
      <c r="M16">
        <v>44498</v>
      </c>
      <c r="AG16">
        <v>55263.64</v>
      </c>
      <c r="AH16" s="1">
        <v>41284</v>
      </c>
      <c r="AI16" s="1">
        <v>41670</v>
      </c>
      <c r="AJ16" s="1">
        <v>41638</v>
      </c>
    </row>
    <row r="17" spans="1:36" ht="15">
      <c r="A17" t="str">
        <f>"4843422645"</f>
        <v>4843422645</v>
      </c>
      <c r="B17" t="str">
        <f t="shared" si="0"/>
        <v>02406911202</v>
      </c>
      <c r="C17" t="s">
        <v>13</v>
      </c>
      <c r="D17" t="s">
        <v>37</v>
      </c>
      <c r="E17" t="s">
        <v>55</v>
      </c>
      <c r="F17" t="s">
        <v>39</v>
      </c>
      <c r="G17" t="str">
        <f>"02307520243"</f>
        <v>02307520243</v>
      </c>
      <c r="I17" t="s">
        <v>61</v>
      </c>
      <c r="L17" t="s">
        <v>41</v>
      </c>
      <c r="M17">
        <v>8709</v>
      </c>
      <c r="AG17">
        <v>47634.62</v>
      </c>
      <c r="AH17" s="1">
        <v>41284</v>
      </c>
      <c r="AI17" s="1">
        <v>41670</v>
      </c>
      <c r="AJ17" s="1">
        <v>41638</v>
      </c>
    </row>
    <row r="18" spans="1:36" ht="15">
      <c r="A18" t="str">
        <f>"4841728058"</f>
        <v>4841728058</v>
      </c>
      <c r="B18" t="str">
        <f t="shared" si="0"/>
        <v>02406911202</v>
      </c>
      <c r="C18" t="s">
        <v>13</v>
      </c>
      <c r="D18" t="s">
        <v>37</v>
      </c>
      <c r="E18" t="s">
        <v>55</v>
      </c>
      <c r="F18" t="s">
        <v>39</v>
      </c>
      <c r="G18" t="str">
        <f>"00076670595"</f>
        <v>00076670595</v>
      </c>
      <c r="I18" t="s">
        <v>62</v>
      </c>
      <c r="L18" t="s">
        <v>41</v>
      </c>
      <c r="M18">
        <v>14772</v>
      </c>
      <c r="AG18">
        <v>6663.16</v>
      </c>
      <c r="AH18" s="1">
        <v>41284</v>
      </c>
      <c r="AI18" s="1">
        <v>41670</v>
      </c>
      <c r="AJ18" s="1">
        <v>41638</v>
      </c>
    </row>
    <row r="19" spans="1:36" ht="15">
      <c r="A19" t="str">
        <f>"48425327D1"</f>
        <v>48425327D1</v>
      </c>
      <c r="B19" t="str">
        <f t="shared" si="0"/>
        <v>02406911202</v>
      </c>
      <c r="C19" t="s">
        <v>13</v>
      </c>
      <c r="D19" t="s">
        <v>37</v>
      </c>
      <c r="E19" t="s">
        <v>55</v>
      </c>
      <c r="F19" t="s">
        <v>39</v>
      </c>
      <c r="G19" t="str">
        <f>"00426150488"</f>
        <v>00426150488</v>
      </c>
      <c r="I19" t="s">
        <v>63</v>
      </c>
      <c r="L19" t="s">
        <v>41</v>
      </c>
      <c r="M19">
        <v>16860</v>
      </c>
      <c r="AG19">
        <v>0</v>
      </c>
      <c r="AH19" s="1">
        <v>41284</v>
      </c>
      <c r="AI19" s="1">
        <v>41670</v>
      </c>
      <c r="AJ19" s="1">
        <v>41638</v>
      </c>
    </row>
    <row r="20" spans="1:36" ht="15">
      <c r="A20" t="str">
        <f>"48423555C1"</f>
        <v>48423555C1</v>
      </c>
      <c r="B20" t="str">
        <f t="shared" si="0"/>
        <v>02406911202</v>
      </c>
      <c r="C20" t="s">
        <v>13</v>
      </c>
      <c r="D20" t="s">
        <v>37</v>
      </c>
      <c r="E20" t="s">
        <v>55</v>
      </c>
      <c r="F20" t="s">
        <v>39</v>
      </c>
      <c r="G20" t="str">
        <f>"05582941000"</f>
        <v>05582941000</v>
      </c>
      <c r="I20" t="s">
        <v>64</v>
      </c>
      <c r="L20" t="s">
        <v>41</v>
      </c>
      <c r="M20">
        <v>5336</v>
      </c>
      <c r="AG20">
        <v>14289.22</v>
      </c>
      <c r="AH20" s="1">
        <v>41284</v>
      </c>
      <c r="AI20" s="1">
        <v>41670</v>
      </c>
      <c r="AJ20" s="1">
        <v>41638</v>
      </c>
    </row>
    <row r="21" spans="1:36" ht="15">
      <c r="A21" t="str">
        <f>"48417892AE"</f>
        <v>48417892AE</v>
      </c>
      <c r="B21" t="str">
        <f t="shared" si="0"/>
        <v>02406911202</v>
      </c>
      <c r="C21" t="s">
        <v>13</v>
      </c>
      <c r="D21" t="s">
        <v>37</v>
      </c>
      <c r="E21" t="s">
        <v>55</v>
      </c>
      <c r="F21" t="s">
        <v>39</v>
      </c>
      <c r="G21" t="str">
        <f>"06522300968"</f>
        <v>06522300968</v>
      </c>
      <c r="I21" t="s">
        <v>65</v>
      </c>
      <c r="L21" t="s">
        <v>41</v>
      </c>
      <c r="M21">
        <v>18636</v>
      </c>
      <c r="AG21">
        <v>32505.62</v>
      </c>
      <c r="AH21" s="1">
        <v>41284</v>
      </c>
      <c r="AI21" s="1">
        <v>41670</v>
      </c>
      <c r="AJ21" s="1">
        <v>41638</v>
      </c>
    </row>
    <row r="22" spans="1:36" ht="15">
      <c r="A22" t="str">
        <f>"4841825064"</f>
        <v>4841825064</v>
      </c>
      <c r="B22" t="str">
        <f t="shared" si="0"/>
        <v>02406911202</v>
      </c>
      <c r="C22" t="s">
        <v>13</v>
      </c>
      <c r="D22" t="s">
        <v>37</v>
      </c>
      <c r="E22" t="s">
        <v>55</v>
      </c>
      <c r="F22" t="s">
        <v>39</v>
      </c>
      <c r="G22" t="str">
        <f>"04754860155"</f>
        <v>04754860155</v>
      </c>
      <c r="I22" t="s">
        <v>66</v>
      </c>
      <c r="L22" t="s">
        <v>41</v>
      </c>
      <c r="M22">
        <v>3612</v>
      </c>
      <c r="AG22">
        <v>903.06</v>
      </c>
      <c r="AH22" s="1">
        <v>41284</v>
      </c>
      <c r="AI22" s="1">
        <v>41670</v>
      </c>
      <c r="AJ22" s="1">
        <v>41638</v>
      </c>
    </row>
    <row r="23" spans="1:36" ht="15">
      <c r="A23" t="str">
        <f>"4842465089"</f>
        <v>4842465089</v>
      </c>
      <c r="B23" t="str">
        <f t="shared" si="0"/>
        <v>02406911202</v>
      </c>
      <c r="C23" t="s">
        <v>13</v>
      </c>
      <c r="D23" t="s">
        <v>37</v>
      </c>
      <c r="E23" t="s">
        <v>55</v>
      </c>
      <c r="F23" t="s">
        <v>39</v>
      </c>
      <c r="G23" t="str">
        <f>"04947170967"</f>
        <v>04947170967</v>
      </c>
      <c r="I23" t="s">
        <v>67</v>
      </c>
      <c r="L23" t="s">
        <v>41</v>
      </c>
      <c r="M23">
        <v>44222</v>
      </c>
      <c r="AG23">
        <v>10392.17</v>
      </c>
      <c r="AH23" s="1">
        <v>41284</v>
      </c>
      <c r="AI23" s="1">
        <v>41670</v>
      </c>
      <c r="AJ23" s="1">
        <v>41638</v>
      </c>
    </row>
    <row r="24" spans="1:36" ht="15">
      <c r="A24" t="str">
        <f>"48429565B7"</f>
        <v>48429565B7</v>
      </c>
      <c r="B24" t="str">
        <f t="shared" si="0"/>
        <v>02406911202</v>
      </c>
      <c r="C24" t="s">
        <v>13</v>
      </c>
      <c r="D24" t="s">
        <v>37</v>
      </c>
      <c r="E24" t="s">
        <v>55</v>
      </c>
      <c r="F24" t="s">
        <v>39</v>
      </c>
      <c r="G24" t="str">
        <f>"00228550273"</f>
        <v>00228550273</v>
      </c>
      <c r="I24" t="s">
        <v>68</v>
      </c>
      <c r="L24" t="s">
        <v>41</v>
      </c>
      <c r="M24">
        <v>766</v>
      </c>
      <c r="AG24">
        <v>1125.99</v>
      </c>
      <c r="AH24" s="1">
        <v>41284</v>
      </c>
      <c r="AI24" s="1">
        <v>41670</v>
      </c>
      <c r="AJ24" s="1">
        <v>41638</v>
      </c>
    </row>
    <row r="25" spans="1:36" ht="15">
      <c r="A25" t="str">
        <f>"4841686DAB"</f>
        <v>4841686DAB</v>
      </c>
      <c r="B25" t="str">
        <f t="shared" si="0"/>
        <v>02406911202</v>
      </c>
      <c r="C25" t="s">
        <v>13</v>
      </c>
      <c r="D25" t="s">
        <v>37</v>
      </c>
      <c r="E25" t="s">
        <v>55</v>
      </c>
      <c r="F25" t="s">
        <v>39</v>
      </c>
      <c r="G25" t="str">
        <f>"03907010585"</f>
        <v>03907010585</v>
      </c>
      <c r="I25" t="s">
        <v>69</v>
      </c>
      <c r="L25" t="s">
        <v>41</v>
      </c>
      <c r="M25">
        <v>3886</v>
      </c>
      <c r="AG25">
        <v>9005.94</v>
      </c>
      <c r="AH25" s="1">
        <v>41284</v>
      </c>
      <c r="AI25" s="1">
        <v>41670</v>
      </c>
      <c r="AJ25" s="1">
        <v>41638</v>
      </c>
    </row>
    <row r="26" spans="1:36" ht="15">
      <c r="A26" t="str">
        <f>"4842981A57"</f>
        <v>4842981A57</v>
      </c>
      <c r="B26" t="str">
        <f t="shared" si="0"/>
        <v>02406911202</v>
      </c>
      <c r="C26" t="s">
        <v>13</v>
      </c>
      <c r="D26" t="s">
        <v>37</v>
      </c>
      <c r="E26" t="s">
        <v>55</v>
      </c>
      <c r="F26" t="s">
        <v>39</v>
      </c>
      <c r="G26" t="str">
        <f>"03859880969"</f>
        <v>03859880969</v>
      </c>
      <c r="I26" t="s">
        <v>70</v>
      </c>
      <c r="L26" t="s">
        <v>41</v>
      </c>
      <c r="M26">
        <v>76227</v>
      </c>
      <c r="AG26">
        <v>365</v>
      </c>
      <c r="AH26" s="1">
        <v>41284</v>
      </c>
      <c r="AI26" s="1">
        <v>41670</v>
      </c>
      <c r="AJ26" s="1">
        <v>41638</v>
      </c>
    </row>
    <row r="27" spans="1:36" ht="15">
      <c r="A27" t="str">
        <f>"4843273B4E"</f>
        <v>4843273B4E</v>
      </c>
      <c r="B27" t="str">
        <f t="shared" si="0"/>
        <v>02406911202</v>
      </c>
      <c r="C27" t="s">
        <v>13</v>
      </c>
      <c r="D27" t="s">
        <v>37</v>
      </c>
      <c r="E27" t="s">
        <v>55</v>
      </c>
      <c r="F27" t="s">
        <v>39</v>
      </c>
      <c r="G27" t="str">
        <f>"06171190967"</f>
        <v>06171190967</v>
      </c>
      <c r="I27" t="s">
        <v>71</v>
      </c>
      <c r="L27" t="s">
        <v>41</v>
      </c>
      <c r="M27">
        <v>18080</v>
      </c>
      <c r="AG27">
        <v>2026.64</v>
      </c>
      <c r="AH27" s="1">
        <v>41284</v>
      </c>
      <c r="AI27" s="1">
        <v>41670</v>
      </c>
      <c r="AJ27" s="1">
        <v>41638</v>
      </c>
    </row>
    <row r="28" spans="1:36" ht="15">
      <c r="A28" t="str">
        <f>"4842908E18"</f>
        <v>4842908E18</v>
      </c>
      <c r="B28" t="str">
        <f t="shared" si="0"/>
        <v>02406911202</v>
      </c>
      <c r="C28" t="s">
        <v>13</v>
      </c>
      <c r="D28" t="s">
        <v>37</v>
      </c>
      <c r="E28" t="s">
        <v>55</v>
      </c>
      <c r="F28" t="s">
        <v>39</v>
      </c>
      <c r="G28" t="str">
        <f>"90032460322"</f>
        <v>90032460322</v>
      </c>
      <c r="I28" t="s">
        <v>72</v>
      </c>
      <c r="L28" t="s">
        <v>41</v>
      </c>
      <c r="M28">
        <v>2288</v>
      </c>
      <c r="AG28">
        <v>0</v>
      </c>
      <c r="AH28" s="1">
        <v>41284</v>
      </c>
      <c r="AI28" s="1">
        <v>41670</v>
      </c>
      <c r="AJ28" s="1">
        <v>41638</v>
      </c>
    </row>
    <row r="29" spans="1:36" ht="15">
      <c r="A29" t="str">
        <f>"4843296E48"</f>
        <v>4843296E48</v>
      </c>
      <c r="B29" t="str">
        <f t="shared" si="0"/>
        <v>02406911202</v>
      </c>
      <c r="C29" t="s">
        <v>13</v>
      </c>
      <c r="D29" t="s">
        <v>37</v>
      </c>
      <c r="E29" t="s">
        <v>55</v>
      </c>
      <c r="F29" t="s">
        <v>39</v>
      </c>
      <c r="G29" t="str">
        <f>"01751900877"</f>
        <v>01751900877</v>
      </c>
      <c r="I29" t="s">
        <v>73</v>
      </c>
      <c r="L29" t="s">
        <v>41</v>
      </c>
      <c r="M29">
        <v>497966</v>
      </c>
      <c r="AG29">
        <v>0</v>
      </c>
      <c r="AH29" s="1">
        <v>41284</v>
      </c>
      <c r="AI29" s="1">
        <v>41670</v>
      </c>
      <c r="AJ29" s="1">
        <v>41638</v>
      </c>
    </row>
    <row r="30" spans="1:36" ht="15">
      <c r="A30" t="str">
        <f>"4842577CF2"</f>
        <v>4842577CF2</v>
      </c>
      <c r="B30" t="str">
        <f t="shared" si="0"/>
        <v>02406911202</v>
      </c>
      <c r="C30" t="s">
        <v>13</v>
      </c>
      <c r="D30" t="s">
        <v>37</v>
      </c>
      <c r="E30" t="s">
        <v>55</v>
      </c>
      <c r="F30" t="s">
        <v>39</v>
      </c>
      <c r="G30" t="str">
        <f>"00227080231"</f>
        <v>00227080231</v>
      </c>
      <c r="I30" t="s">
        <v>74</v>
      </c>
      <c r="L30" t="s">
        <v>41</v>
      </c>
      <c r="M30">
        <v>105010</v>
      </c>
      <c r="AG30">
        <v>175557.82</v>
      </c>
      <c r="AH30" s="1">
        <v>41284</v>
      </c>
      <c r="AI30" s="1">
        <v>41670</v>
      </c>
      <c r="AJ30" s="1">
        <v>41638</v>
      </c>
    </row>
    <row r="31" spans="1:36" ht="15">
      <c r="A31" t="str">
        <f>"4843003C7E"</f>
        <v>4843003C7E</v>
      </c>
      <c r="B31" t="str">
        <f t="shared" si="0"/>
        <v>02406911202</v>
      </c>
      <c r="C31" t="s">
        <v>13</v>
      </c>
      <c r="D31" t="s">
        <v>37</v>
      </c>
      <c r="E31" t="s">
        <v>55</v>
      </c>
      <c r="F31" t="s">
        <v>39</v>
      </c>
      <c r="G31" t="str">
        <f>"13179250157"</f>
        <v>13179250157</v>
      </c>
      <c r="I31" t="s">
        <v>75</v>
      </c>
      <c r="L31" t="s">
        <v>41</v>
      </c>
      <c r="M31">
        <v>74567</v>
      </c>
      <c r="AG31">
        <v>97416.93</v>
      </c>
      <c r="AH31" s="1">
        <v>41284</v>
      </c>
      <c r="AI31" s="1">
        <v>41670</v>
      </c>
      <c r="AJ31" s="1">
        <v>41638</v>
      </c>
    </row>
    <row r="32" spans="1:36" ht="15">
      <c r="A32" t="str">
        <f>"4841897BCB"</f>
        <v>4841897BCB</v>
      </c>
      <c r="B32" t="str">
        <f t="shared" si="0"/>
        <v>02406911202</v>
      </c>
      <c r="C32" t="s">
        <v>13</v>
      </c>
      <c r="D32" t="s">
        <v>37</v>
      </c>
      <c r="E32" t="s">
        <v>55</v>
      </c>
      <c r="F32" t="s">
        <v>39</v>
      </c>
      <c r="G32" t="str">
        <f>"00735390155"</f>
        <v>00735390155</v>
      </c>
      <c r="I32" t="s">
        <v>76</v>
      </c>
      <c r="L32" t="s">
        <v>41</v>
      </c>
      <c r="M32">
        <v>7539</v>
      </c>
      <c r="AG32">
        <v>59937.85</v>
      </c>
      <c r="AH32" s="1">
        <v>41284</v>
      </c>
      <c r="AI32" s="1">
        <v>41670</v>
      </c>
      <c r="AJ32" s="1">
        <v>41638</v>
      </c>
    </row>
    <row r="33" spans="1:36" ht="15">
      <c r="A33" t="str">
        <f>"4842930044"</f>
        <v>4842930044</v>
      </c>
      <c r="B33" t="str">
        <f t="shared" si="0"/>
        <v>02406911202</v>
      </c>
      <c r="C33" t="s">
        <v>13</v>
      </c>
      <c r="D33" t="s">
        <v>37</v>
      </c>
      <c r="E33" t="s">
        <v>55</v>
      </c>
      <c r="F33" t="s">
        <v>39</v>
      </c>
      <c r="G33" t="str">
        <f>"07587340964"</f>
        <v>07587340964</v>
      </c>
      <c r="I33" t="s">
        <v>77</v>
      </c>
      <c r="L33" t="s">
        <v>41</v>
      </c>
      <c r="M33">
        <v>12741</v>
      </c>
      <c r="AG33">
        <v>25478.47</v>
      </c>
      <c r="AH33" s="1">
        <v>41284</v>
      </c>
      <c r="AI33" s="1">
        <v>41670</v>
      </c>
      <c r="AJ33" s="1">
        <v>41638</v>
      </c>
    </row>
    <row r="34" spans="1:36" ht="15">
      <c r="A34" t="str">
        <f>"4843103F03"</f>
        <v>4843103F03</v>
      </c>
      <c r="B34" t="str">
        <f t="shared" si="0"/>
        <v>02406911202</v>
      </c>
      <c r="C34" t="s">
        <v>13</v>
      </c>
      <c r="D34" t="s">
        <v>37</v>
      </c>
      <c r="E34" t="s">
        <v>55</v>
      </c>
      <c r="F34" t="s">
        <v>39</v>
      </c>
      <c r="G34" t="str">
        <f>"07195130153"</f>
        <v>07195130153</v>
      </c>
      <c r="I34" t="s">
        <v>78</v>
      </c>
      <c r="L34" t="s">
        <v>41</v>
      </c>
      <c r="M34">
        <v>350908</v>
      </c>
      <c r="AG34">
        <v>70725</v>
      </c>
      <c r="AH34" s="1">
        <v>41284</v>
      </c>
      <c r="AI34" s="1">
        <v>41670</v>
      </c>
      <c r="AJ34" s="1">
        <v>41638</v>
      </c>
    </row>
    <row r="35" spans="1:36" ht="15">
      <c r="A35" t="str">
        <f>"48426297DD"</f>
        <v>48426297DD</v>
      </c>
      <c r="B35" t="str">
        <f t="shared" si="0"/>
        <v>02406911202</v>
      </c>
      <c r="C35" t="s">
        <v>13</v>
      </c>
      <c r="D35" t="s">
        <v>37</v>
      </c>
      <c r="E35" t="s">
        <v>55</v>
      </c>
      <c r="F35" t="s">
        <v>39</v>
      </c>
      <c r="G35" t="str">
        <f>"00931170195"</f>
        <v>00931170195</v>
      </c>
      <c r="I35" t="s">
        <v>79</v>
      </c>
      <c r="L35" t="s">
        <v>41</v>
      </c>
      <c r="M35">
        <v>9940</v>
      </c>
      <c r="AG35">
        <v>16320</v>
      </c>
      <c r="AH35" s="1">
        <v>41284</v>
      </c>
      <c r="AI35" s="1">
        <v>41670</v>
      </c>
      <c r="AJ35" s="1">
        <v>41638</v>
      </c>
    </row>
    <row r="36" spans="1:36" ht="15">
      <c r="A36" t="str">
        <f>"48432242E1"</f>
        <v>48432242E1</v>
      </c>
      <c r="B36" t="str">
        <f t="shared" si="0"/>
        <v>02406911202</v>
      </c>
      <c r="C36" t="s">
        <v>13</v>
      </c>
      <c r="D36" t="s">
        <v>37</v>
      </c>
      <c r="E36" t="s">
        <v>55</v>
      </c>
      <c r="F36" t="s">
        <v>39</v>
      </c>
      <c r="G36" t="str">
        <f>"06685100155"</f>
        <v>06685100155</v>
      </c>
      <c r="I36" t="s">
        <v>80</v>
      </c>
      <c r="L36" t="s">
        <v>41</v>
      </c>
      <c r="M36">
        <v>305066</v>
      </c>
      <c r="AG36">
        <v>88332.8</v>
      </c>
      <c r="AH36" s="1">
        <v>41284</v>
      </c>
      <c r="AI36" s="1">
        <v>41670</v>
      </c>
      <c r="AJ36" s="1">
        <v>41638</v>
      </c>
    </row>
    <row r="37" spans="1:36" ht="15">
      <c r="A37" t="str">
        <f>"4843260097"</f>
        <v>4843260097</v>
      </c>
      <c r="B37" t="str">
        <f t="shared" si="0"/>
        <v>02406911202</v>
      </c>
      <c r="C37" t="s">
        <v>13</v>
      </c>
      <c r="D37" t="s">
        <v>37</v>
      </c>
      <c r="E37" t="s">
        <v>55</v>
      </c>
      <c r="F37" t="s">
        <v>39</v>
      </c>
      <c r="G37" t="str">
        <f>"00410650584"</f>
        <v>00410650584</v>
      </c>
      <c r="I37" t="s">
        <v>81</v>
      </c>
      <c r="L37" t="s">
        <v>41</v>
      </c>
      <c r="M37">
        <v>58556</v>
      </c>
      <c r="AG37">
        <v>35771.71</v>
      </c>
      <c r="AH37" s="1">
        <v>41284</v>
      </c>
      <c r="AI37" s="1">
        <v>41670</v>
      </c>
      <c r="AJ37" s="1">
        <v>41638</v>
      </c>
    </row>
    <row r="38" spans="1:36" ht="15">
      <c r="A38" t="str">
        <f>"4842512750"</f>
        <v>4842512750</v>
      </c>
      <c r="B38" t="str">
        <f t="shared" si="0"/>
        <v>02406911202</v>
      </c>
      <c r="C38" t="s">
        <v>13</v>
      </c>
      <c r="D38" t="s">
        <v>37</v>
      </c>
      <c r="E38" t="s">
        <v>55</v>
      </c>
      <c r="F38" t="s">
        <v>39</v>
      </c>
      <c r="G38" t="str">
        <f>"04732240967"</f>
        <v>04732240967</v>
      </c>
      <c r="I38" t="s">
        <v>82</v>
      </c>
      <c r="L38" t="s">
        <v>41</v>
      </c>
      <c r="M38">
        <v>50165</v>
      </c>
      <c r="AG38">
        <v>0</v>
      </c>
      <c r="AH38" s="1">
        <v>41284</v>
      </c>
      <c r="AI38" s="1">
        <v>41670</v>
      </c>
      <c r="AJ38" s="1">
        <v>41638</v>
      </c>
    </row>
    <row r="39" spans="1:36" ht="15">
      <c r="A39" t="str">
        <f>"3480349AD7"</f>
        <v>3480349AD7</v>
      </c>
      <c r="B39" t="str">
        <f t="shared" si="0"/>
        <v>02406911202</v>
      </c>
      <c r="C39" t="s">
        <v>13</v>
      </c>
      <c r="D39" t="s">
        <v>37</v>
      </c>
      <c r="E39" t="s">
        <v>83</v>
      </c>
      <c r="F39" t="s">
        <v>39</v>
      </c>
      <c r="G39" t="str">
        <f>"00962280590"</f>
        <v>00962280590</v>
      </c>
      <c r="I39" t="s">
        <v>84</v>
      </c>
      <c r="L39" t="s">
        <v>41</v>
      </c>
      <c r="M39">
        <v>44370</v>
      </c>
      <c r="AG39">
        <v>148566.1</v>
      </c>
      <c r="AH39" s="1">
        <v>41518</v>
      </c>
      <c r="AI39" s="1">
        <v>41881</v>
      </c>
      <c r="AJ39" s="1">
        <v>41638</v>
      </c>
    </row>
    <row r="40" spans="1:36" ht="15">
      <c r="A40" t="str">
        <f>"4855723D5E"</f>
        <v>4855723D5E</v>
      </c>
      <c r="B40" t="str">
        <f t="shared" si="0"/>
        <v>02406911202</v>
      </c>
      <c r="C40" t="s">
        <v>13</v>
      </c>
      <c r="D40" t="s">
        <v>37</v>
      </c>
      <c r="E40" t="s">
        <v>85</v>
      </c>
      <c r="F40" t="s">
        <v>86</v>
      </c>
      <c r="G40" t="str">
        <f>"08864080158"</f>
        <v>08864080158</v>
      </c>
      <c r="I40" t="s">
        <v>87</v>
      </c>
      <c r="L40" t="s">
        <v>41</v>
      </c>
      <c r="M40">
        <v>111570</v>
      </c>
      <c r="AG40">
        <v>0</v>
      </c>
      <c r="AH40" s="1">
        <v>41306</v>
      </c>
      <c r="AI40" s="1">
        <v>41670</v>
      </c>
      <c r="AJ40" s="1">
        <v>41638</v>
      </c>
    </row>
    <row r="41" spans="1:36" ht="15">
      <c r="A41" t="str">
        <f>"Z97071944D"</f>
        <v>Z97071944D</v>
      </c>
      <c r="B41" t="str">
        <f t="shared" si="0"/>
        <v>02406911202</v>
      </c>
      <c r="C41" t="s">
        <v>13</v>
      </c>
      <c r="D41" t="s">
        <v>37</v>
      </c>
      <c r="E41" t="s">
        <v>88</v>
      </c>
      <c r="F41" t="s">
        <v>89</v>
      </c>
      <c r="G41" t="str">
        <f>"09058160152"</f>
        <v>09058160152</v>
      </c>
      <c r="I41" t="s">
        <v>90</v>
      </c>
      <c r="L41" t="s">
        <v>41</v>
      </c>
      <c r="M41">
        <v>28683</v>
      </c>
      <c r="AG41">
        <v>28683</v>
      </c>
      <c r="AH41" s="1">
        <v>41334</v>
      </c>
      <c r="AI41" s="1">
        <v>41455</v>
      </c>
      <c r="AJ41" s="1">
        <v>41638</v>
      </c>
    </row>
    <row r="42" spans="1:36" ht="15">
      <c r="A42" t="str">
        <f>"Z97071944D"</f>
        <v>Z97071944D</v>
      </c>
      <c r="B42" t="str">
        <f t="shared" si="0"/>
        <v>02406911202</v>
      </c>
      <c r="C42" t="s">
        <v>13</v>
      </c>
      <c r="D42" t="s">
        <v>37</v>
      </c>
      <c r="E42" t="s">
        <v>88</v>
      </c>
      <c r="F42" t="s">
        <v>89</v>
      </c>
      <c r="G42" t="str">
        <f>"01059590107"</f>
        <v>01059590107</v>
      </c>
      <c r="I42" t="s">
        <v>91</v>
      </c>
      <c r="L42" t="s">
        <v>45</v>
      </c>
      <c r="AJ42" s="1">
        <v>41638</v>
      </c>
    </row>
    <row r="43" spans="1:36" ht="15">
      <c r="A43" t="str">
        <f>"Z97071944D"</f>
        <v>Z97071944D</v>
      </c>
      <c r="B43" t="str">
        <f t="shared" si="0"/>
        <v>02406911202</v>
      </c>
      <c r="C43" t="s">
        <v>13</v>
      </c>
      <c r="D43" t="s">
        <v>37</v>
      </c>
      <c r="E43" t="s">
        <v>88</v>
      </c>
      <c r="F43" t="s">
        <v>89</v>
      </c>
      <c r="G43" t="str">
        <f>"02481080964"</f>
        <v>02481080964</v>
      </c>
      <c r="I43" t="s">
        <v>92</v>
      </c>
      <c r="L43" t="s">
        <v>45</v>
      </c>
      <c r="AJ43" s="1">
        <v>41638</v>
      </c>
    </row>
    <row r="44" spans="1:36" ht="15">
      <c r="A44" t="str">
        <f>"Z97071944D"</f>
        <v>Z97071944D</v>
      </c>
      <c r="B44" t="str">
        <f t="shared" si="0"/>
        <v>02406911202</v>
      </c>
      <c r="C44" t="s">
        <v>13</v>
      </c>
      <c r="D44" t="s">
        <v>37</v>
      </c>
      <c r="E44" t="s">
        <v>88</v>
      </c>
      <c r="F44" t="s">
        <v>89</v>
      </c>
      <c r="G44" t="str">
        <f>"00551370372"</f>
        <v>00551370372</v>
      </c>
      <c r="I44" t="s">
        <v>93</v>
      </c>
      <c r="L44" t="s">
        <v>45</v>
      </c>
      <c r="AJ44" s="1">
        <v>41638</v>
      </c>
    </row>
    <row r="45" spans="1:36" ht="15">
      <c r="A45" t="str">
        <f>"Z97071944D"</f>
        <v>Z97071944D</v>
      </c>
      <c r="B45" t="str">
        <f t="shared" si="0"/>
        <v>02406911202</v>
      </c>
      <c r="C45" t="s">
        <v>13</v>
      </c>
      <c r="D45" t="s">
        <v>37</v>
      </c>
      <c r="E45" t="s">
        <v>88</v>
      </c>
      <c r="F45" t="s">
        <v>89</v>
      </c>
      <c r="G45" t="str">
        <f>"00640800280"</f>
        <v>00640800280</v>
      </c>
      <c r="I45" t="s">
        <v>94</v>
      </c>
      <c r="L45" t="s">
        <v>45</v>
      </c>
      <c r="AJ45" s="1">
        <v>41638</v>
      </c>
    </row>
    <row r="46" spans="1:36" ht="15">
      <c r="A46" t="str">
        <f>"4781055B63"</f>
        <v>4781055B63</v>
      </c>
      <c r="B46" t="str">
        <f t="shared" si="0"/>
        <v>02406911202</v>
      </c>
      <c r="C46" t="s">
        <v>13</v>
      </c>
      <c r="D46" t="s">
        <v>37</v>
      </c>
      <c r="E46" t="s">
        <v>95</v>
      </c>
      <c r="F46" t="s">
        <v>39</v>
      </c>
      <c r="G46" t="str">
        <f>"02973040963"</f>
        <v>02973040963</v>
      </c>
      <c r="I46" t="s">
        <v>96</v>
      </c>
      <c r="L46" t="s">
        <v>41</v>
      </c>
      <c r="M46">
        <v>3317</v>
      </c>
      <c r="AG46">
        <v>100795.98</v>
      </c>
      <c r="AH46" s="1">
        <v>41291</v>
      </c>
      <c r="AI46" s="1">
        <v>42751</v>
      </c>
      <c r="AJ46" s="1">
        <v>41638</v>
      </c>
    </row>
    <row r="47" spans="1:36" ht="15">
      <c r="A47" t="str">
        <f>"4862027F97"</f>
        <v>4862027F97</v>
      </c>
      <c r="B47" t="str">
        <f t="shared" si="0"/>
        <v>02406911202</v>
      </c>
      <c r="C47" t="s">
        <v>13</v>
      </c>
      <c r="D47" t="s">
        <v>37</v>
      </c>
      <c r="E47" t="s">
        <v>97</v>
      </c>
      <c r="F47" t="s">
        <v>89</v>
      </c>
      <c r="G47" t="str">
        <f>"00847380961"</f>
        <v>00847380961</v>
      </c>
      <c r="I47" t="s">
        <v>98</v>
      </c>
      <c r="L47" t="s">
        <v>41</v>
      </c>
      <c r="M47">
        <v>15800</v>
      </c>
      <c r="AG47">
        <v>38610</v>
      </c>
      <c r="AH47" s="1">
        <v>41313</v>
      </c>
      <c r="AI47" s="1">
        <v>42042</v>
      </c>
      <c r="AJ47" s="1">
        <v>41638</v>
      </c>
    </row>
    <row r="48" spans="1:36" ht="15">
      <c r="A48" t="str">
        <f>"4861885A6A"</f>
        <v>4861885A6A</v>
      </c>
      <c r="B48" t="str">
        <f t="shared" si="0"/>
        <v>02406911202</v>
      </c>
      <c r="C48" t="s">
        <v>13</v>
      </c>
      <c r="D48" t="s">
        <v>37</v>
      </c>
      <c r="E48" t="s">
        <v>97</v>
      </c>
      <c r="F48" t="s">
        <v>89</v>
      </c>
      <c r="G48" t="str">
        <f>"01296201005"</f>
        <v>01296201005</v>
      </c>
      <c r="I48" t="s">
        <v>99</v>
      </c>
      <c r="L48" t="s">
        <v>41</v>
      </c>
      <c r="M48">
        <v>3600</v>
      </c>
      <c r="AG48">
        <v>200</v>
      </c>
      <c r="AH48" s="1">
        <v>41313</v>
      </c>
      <c r="AI48" s="1">
        <v>42042</v>
      </c>
      <c r="AJ48" s="1">
        <v>41638</v>
      </c>
    </row>
    <row r="49" spans="1:36" ht="15">
      <c r="A49" t="str">
        <f>"486209795D"</f>
        <v>486209795D</v>
      </c>
      <c r="B49" t="str">
        <f t="shared" si="0"/>
        <v>02406911202</v>
      </c>
      <c r="C49" t="s">
        <v>13</v>
      </c>
      <c r="D49" t="s">
        <v>37</v>
      </c>
      <c r="E49" t="s">
        <v>97</v>
      </c>
      <c r="F49" t="s">
        <v>89</v>
      </c>
      <c r="G49" t="str">
        <f>"03597020373"</f>
        <v>03597020373</v>
      </c>
      <c r="I49" t="s">
        <v>100</v>
      </c>
      <c r="L49" t="s">
        <v>41</v>
      </c>
      <c r="M49">
        <v>10200</v>
      </c>
      <c r="AG49">
        <v>37851</v>
      </c>
      <c r="AH49" s="1">
        <v>41313</v>
      </c>
      <c r="AI49" s="1">
        <v>42042</v>
      </c>
      <c r="AJ49" s="1">
        <v>41638</v>
      </c>
    </row>
    <row r="50" spans="1:36" ht="15">
      <c r="A50" t="str">
        <f>"4862051369"</f>
        <v>4862051369</v>
      </c>
      <c r="B50" t="str">
        <f t="shared" si="0"/>
        <v>02406911202</v>
      </c>
      <c r="C50" t="s">
        <v>13</v>
      </c>
      <c r="D50" t="s">
        <v>37</v>
      </c>
      <c r="E50" t="s">
        <v>97</v>
      </c>
      <c r="F50" t="s">
        <v>89</v>
      </c>
      <c r="G50" t="str">
        <f>"01846710364"</f>
        <v>01846710364</v>
      </c>
      <c r="I50" t="s">
        <v>101</v>
      </c>
      <c r="L50" t="s">
        <v>41</v>
      </c>
      <c r="M50">
        <v>10100</v>
      </c>
      <c r="AG50">
        <v>29308.8</v>
      </c>
      <c r="AH50" s="1">
        <v>41313</v>
      </c>
      <c r="AI50" s="1">
        <v>42042</v>
      </c>
      <c r="AJ50" s="1">
        <v>41638</v>
      </c>
    </row>
    <row r="51" spans="1:36" ht="15">
      <c r="A51" t="str">
        <f>"4862073590"</f>
        <v>4862073590</v>
      </c>
      <c r="B51" t="str">
        <f t="shared" si="0"/>
        <v>02406911202</v>
      </c>
      <c r="C51" t="s">
        <v>13</v>
      </c>
      <c r="D51" t="s">
        <v>37</v>
      </c>
      <c r="E51" t="s">
        <v>97</v>
      </c>
      <c r="F51" t="s">
        <v>89</v>
      </c>
      <c r="G51" t="str">
        <f>"01228210371"</f>
        <v>01228210371</v>
      </c>
      <c r="I51" t="s">
        <v>102</v>
      </c>
      <c r="L51" t="s">
        <v>41</v>
      </c>
      <c r="M51">
        <v>3210</v>
      </c>
      <c r="AG51">
        <v>3210</v>
      </c>
      <c r="AH51" s="1">
        <v>41313</v>
      </c>
      <c r="AI51" s="1">
        <v>42042</v>
      </c>
      <c r="AJ51" s="1">
        <v>41638</v>
      </c>
    </row>
    <row r="52" spans="1:36" ht="15">
      <c r="A52" t="str">
        <f>"48567615F6"</f>
        <v>48567615F6</v>
      </c>
      <c r="B52" t="str">
        <f t="shared" si="0"/>
        <v>02406911202</v>
      </c>
      <c r="C52" t="s">
        <v>13</v>
      </c>
      <c r="D52" t="s">
        <v>37</v>
      </c>
      <c r="E52" t="s">
        <v>103</v>
      </c>
      <c r="F52" t="s">
        <v>39</v>
      </c>
      <c r="G52" t="str">
        <f>"10784350158"</f>
        <v>10784350158</v>
      </c>
      <c r="I52" t="s">
        <v>104</v>
      </c>
      <c r="L52" t="s">
        <v>41</v>
      </c>
      <c r="M52">
        <v>42830</v>
      </c>
      <c r="AG52">
        <v>42830</v>
      </c>
      <c r="AH52" s="1">
        <v>41291</v>
      </c>
      <c r="AI52" s="1">
        <v>41639</v>
      </c>
      <c r="AJ52" s="1">
        <v>41638</v>
      </c>
    </row>
    <row r="53" spans="1:36" ht="15">
      <c r="A53" t="str">
        <f>"5009349590"</f>
        <v>5009349590</v>
      </c>
      <c r="B53" t="str">
        <f t="shared" si="0"/>
        <v>02406911202</v>
      </c>
      <c r="C53" t="s">
        <v>13</v>
      </c>
      <c r="D53" t="s">
        <v>37</v>
      </c>
      <c r="E53" t="s">
        <v>105</v>
      </c>
      <c r="F53" t="s">
        <v>106</v>
      </c>
      <c r="G53" t="str">
        <f>"09331210154"</f>
        <v>09331210154</v>
      </c>
      <c r="I53" t="s">
        <v>107</v>
      </c>
      <c r="L53" t="s">
        <v>41</v>
      </c>
      <c r="M53">
        <v>163532</v>
      </c>
      <c r="AG53">
        <v>143387.5</v>
      </c>
      <c r="AH53" s="1">
        <v>41334</v>
      </c>
      <c r="AI53" s="1">
        <v>42428</v>
      </c>
      <c r="AJ53" s="1">
        <v>41638</v>
      </c>
    </row>
    <row r="54" spans="1:36" ht="15">
      <c r="A54" t="str">
        <f>"5009349590"</f>
        <v>5009349590</v>
      </c>
      <c r="B54" t="str">
        <f t="shared" si="0"/>
        <v>02406911202</v>
      </c>
      <c r="C54" t="s">
        <v>13</v>
      </c>
      <c r="D54" t="s">
        <v>37</v>
      </c>
      <c r="E54" t="s">
        <v>105</v>
      </c>
      <c r="F54" t="s">
        <v>106</v>
      </c>
      <c r="G54" t="str">
        <f>"02005430364"</f>
        <v>02005430364</v>
      </c>
      <c r="I54" t="s">
        <v>108</v>
      </c>
      <c r="L54" t="s">
        <v>45</v>
      </c>
      <c r="AJ54" s="1">
        <v>41638</v>
      </c>
    </row>
    <row r="55" spans="1:36" ht="15">
      <c r="A55" t="str">
        <f>"5009349590"</f>
        <v>5009349590</v>
      </c>
      <c r="B55" t="str">
        <f t="shared" si="0"/>
        <v>02406911202</v>
      </c>
      <c r="C55" t="s">
        <v>13</v>
      </c>
      <c r="D55" t="s">
        <v>37</v>
      </c>
      <c r="E55" t="s">
        <v>105</v>
      </c>
      <c r="F55" t="s">
        <v>106</v>
      </c>
      <c r="G55" t="str">
        <f>"00207810284"</f>
        <v>00207810284</v>
      </c>
      <c r="I55" t="s">
        <v>109</v>
      </c>
      <c r="L55" t="s">
        <v>45</v>
      </c>
      <c r="AJ55" s="1">
        <v>41638</v>
      </c>
    </row>
    <row r="56" spans="1:36" ht="15">
      <c r="A56" t="str">
        <f>"5010601EBC"</f>
        <v>5010601EBC</v>
      </c>
      <c r="B56" t="str">
        <f t="shared" si="0"/>
        <v>02406911202</v>
      </c>
      <c r="C56" t="s">
        <v>13</v>
      </c>
      <c r="D56" t="s">
        <v>37</v>
      </c>
      <c r="E56" t="s">
        <v>105</v>
      </c>
      <c r="F56" t="s">
        <v>106</v>
      </c>
      <c r="G56" t="str">
        <f>"09331210154"</f>
        <v>09331210154</v>
      </c>
      <c r="I56" t="s">
        <v>107</v>
      </c>
      <c r="L56" t="s">
        <v>41</v>
      </c>
      <c r="M56">
        <v>23940</v>
      </c>
      <c r="AG56">
        <v>3990</v>
      </c>
      <c r="AH56" s="1">
        <v>41334</v>
      </c>
      <c r="AI56" s="1">
        <v>42428</v>
      </c>
      <c r="AJ56" s="1">
        <v>41638</v>
      </c>
    </row>
    <row r="57" spans="1:36" ht="15">
      <c r="A57" t="str">
        <f>"5010601EBC"</f>
        <v>5010601EBC</v>
      </c>
      <c r="B57" t="str">
        <f t="shared" si="0"/>
        <v>02406911202</v>
      </c>
      <c r="C57" t="s">
        <v>13</v>
      </c>
      <c r="D57" t="s">
        <v>37</v>
      </c>
      <c r="E57" t="s">
        <v>105</v>
      </c>
      <c r="F57" t="s">
        <v>106</v>
      </c>
      <c r="G57" t="str">
        <f>"02005430364"</f>
        <v>02005430364</v>
      </c>
      <c r="I57" t="s">
        <v>108</v>
      </c>
      <c r="L57" t="s">
        <v>45</v>
      </c>
      <c r="AJ57" s="1">
        <v>41638</v>
      </c>
    </row>
    <row r="58" spans="1:36" ht="15">
      <c r="A58" t="str">
        <f>"5010601EBC"</f>
        <v>5010601EBC</v>
      </c>
      <c r="B58" t="str">
        <f t="shared" si="0"/>
        <v>02406911202</v>
      </c>
      <c r="C58" t="s">
        <v>13</v>
      </c>
      <c r="D58" t="s">
        <v>37</v>
      </c>
      <c r="E58" t="s">
        <v>105</v>
      </c>
      <c r="F58" t="s">
        <v>106</v>
      </c>
      <c r="G58" t="str">
        <f>"00207810284"</f>
        <v>00207810284</v>
      </c>
      <c r="I58" t="s">
        <v>109</v>
      </c>
      <c r="L58" t="s">
        <v>45</v>
      </c>
      <c r="AJ58" s="1">
        <v>41638</v>
      </c>
    </row>
    <row r="59" spans="1:36" ht="15">
      <c r="A59" t="str">
        <f>"50105726D0"</f>
        <v>50105726D0</v>
      </c>
      <c r="B59" t="str">
        <f t="shared" si="0"/>
        <v>02406911202</v>
      </c>
      <c r="C59" t="s">
        <v>13</v>
      </c>
      <c r="D59" t="s">
        <v>37</v>
      </c>
      <c r="E59" t="s">
        <v>105</v>
      </c>
      <c r="F59" t="s">
        <v>106</v>
      </c>
      <c r="G59" t="str">
        <f>"09331210154"</f>
        <v>09331210154</v>
      </c>
      <c r="I59" t="s">
        <v>107</v>
      </c>
      <c r="L59" t="s">
        <v>45</v>
      </c>
      <c r="AJ59" s="1">
        <v>41638</v>
      </c>
    </row>
    <row r="60" spans="1:36" ht="15">
      <c r="A60" t="str">
        <f>"50105726D0"</f>
        <v>50105726D0</v>
      </c>
      <c r="B60" t="str">
        <f t="shared" si="0"/>
        <v>02406911202</v>
      </c>
      <c r="C60" t="s">
        <v>13</v>
      </c>
      <c r="D60" t="s">
        <v>37</v>
      </c>
      <c r="E60" t="s">
        <v>105</v>
      </c>
      <c r="F60" t="s">
        <v>106</v>
      </c>
      <c r="G60" t="str">
        <f>"02005430364"</f>
        <v>02005430364</v>
      </c>
      <c r="I60" t="s">
        <v>108</v>
      </c>
      <c r="L60" t="s">
        <v>45</v>
      </c>
      <c r="AJ60" s="1">
        <v>41638</v>
      </c>
    </row>
    <row r="61" spans="1:36" ht="15">
      <c r="A61" t="str">
        <f>"50105726D0"</f>
        <v>50105726D0</v>
      </c>
      <c r="B61" t="str">
        <f t="shared" si="0"/>
        <v>02406911202</v>
      </c>
      <c r="C61" t="s">
        <v>13</v>
      </c>
      <c r="D61" t="s">
        <v>37</v>
      </c>
      <c r="E61" t="s">
        <v>105</v>
      </c>
      <c r="F61" t="s">
        <v>106</v>
      </c>
      <c r="G61" t="str">
        <f>"00207810284"</f>
        <v>00207810284</v>
      </c>
      <c r="I61" t="s">
        <v>109</v>
      </c>
      <c r="L61" t="s">
        <v>41</v>
      </c>
      <c r="M61">
        <v>27474</v>
      </c>
      <c r="AG61">
        <v>75029.58</v>
      </c>
      <c r="AH61" s="1">
        <v>41334</v>
      </c>
      <c r="AI61" s="1">
        <v>42428</v>
      </c>
      <c r="AJ61" s="1">
        <v>41638</v>
      </c>
    </row>
    <row r="62" spans="1:36" ht="15">
      <c r="A62" t="str">
        <f>"4876004DC7"</f>
        <v>4876004DC7</v>
      </c>
      <c r="B62" t="str">
        <f t="shared" si="0"/>
        <v>02406911202</v>
      </c>
      <c r="C62" t="s">
        <v>13</v>
      </c>
      <c r="D62" t="s">
        <v>37</v>
      </c>
      <c r="E62" t="s">
        <v>110</v>
      </c>
      <c r="F62" t="s">
        <v>86</v>
      </c>
      <c r="G62" t="str">
        <f>"00227080231"</f>
        <v>00227080231</v>
      </c>
      <c r="I62" t="s">
        <v>74</v>
      </c>
      <c r="L62" t="s">
        <v>41</v>
      </c>
      <c r="M62">
        <v>325000</v>
      </c>
      <c r="AG62">
        <v>146321.4</v>
      </c>
      <c r="AH62" s="1">
        <v>41306</v>
      </c>
      <c r="AI62" s="1">
        <v>43100</v>
      </c>
      <c r="AJ62" s="1">
        <v>41638</v>
      </c>
    </row>
    <row r="63" spans="1:36" ht="15">
      <c r="A63" t="str">
        <f>"4885716C60"</f>
        <v>4885716C60</v>
      </c>
      <c r="B63" t="str">
        <f t="shared" si="0"/>
        <v>02406911202</v>
      </c>
      <c r="C63" t="s">
        <v>13</v>
      </c>
      <c r="D63" t="s">
        <v>37</v>
      </c>
      <c r="E63" t="s">
        <v>111</v>
      </c>
      <c r="F63" t="s">
        <v>86</v>
      </c>
      <c r="G63" t="str">
        <f>"07195130153"</f>
        <v>07195130153</v>
      </c>
      <c r="I63" t="s">
        <v>78</v>
      </c>
      <c r="L63" t="s">
        <v>41</v>
      </c>
      <c r="M63">
        <v>368465</v>
      </c>
      <c r="AG63">
        <v>241884.6</v>
      </c>
      <c r="AH63" s="1">
        <v>41295</v>
      </c>
      <c r="AI63" s="1">
        <v>41639</v>
      </c>
      <c r="AJ63" s="1">
        <v>41638</v>
      </c>
    </row>
    <row r="64" spans="1:36" ht="15">
      <c r="A64" t="str">
        <f>"48812463A0"</f>
        <v>48812463A0</v>
      </c>
      <c r="B64" t="str">
        <f t="shared" si="0"/>
        <v>02406911202</v>
      </c>
      <c r="C64" t="s">
        <v>13</v>
      </c>
      <c r="D64" t="s">
        <v>37</v>
      </c>
      <c r="E64" t="s">
        <v>112</v>
      </c>
      <c r="F64" t="s">
        <v>106</v>
      </c>
      <c r="G64" t="str">
        <f>"04875890156"</f>
        <v>04875890156</v>
      </c>
      <c r="I64" t="s">
        <v>113</v>
      </c>
      <c r="L64" t="s">
        <v>45</v>
      </c>
      <c r="AJ64" s="1">
        <v>41638</v>
      </c>
    </row>
    <row r="65" spans="1:36" ht="15">
      <c r="A65" t="str">
        <f>"48812463A0"</f>
        <v>48812463A0</v>
      </c>
      <c r="B65" t="str">
        <f t="shared" si="0"/>
        <v>02406911202</v>
      </c>
      <c r="C65" t="s">
        <v>13</v>
      </c>
      <c r="D65" t="s">
        <v>37</v>
      </c>
      <c r="E65" t="s">
        <v>112</v>
      </c>
      <c r="F65" t="s">
        <v>106</v>
      </c>
      <c r="G65" t="str">
        <f>"08641790152"</f>
        <v>08641790152</v>
      </c>
      <c r="I65" t="s">
        <v>114</v>
      </c>
      <c r="L65" t="s">
        <v>41</v>
      </c>
      <c r="M65">
        <v>64550</v>
      </c>
      <c r="AG65">
        <v>37277</v>
      </c>
      <c r="AH65" s="1">
        <v>41340</v>
      </c>
      <c r="AI65" s="1">
        <v>42069</v>
      </c>
      <c r="AJ65" s="1">
        <v>41638</v>
      </c>
    </row>
    <row r="66" spans="1:36" ht="15">
      <c r="A66" t="str">
        <f>"4885559AD1"</f>
        <v>4885559AD1</v>
      </c>
      <c r="B66" t="str">
        <f aca="true" t="shared" si="2" ref="B66:B129">"02406911202"</f>
        <v>02406911202</v>
      </c>
      <c r="C66" t="s">
        <v>13</v>
      </c>
      <c r="D66" t="s">
        <v>37</v>
      </c>
      <c r="E66" t="s">
        <v>115</v>
      </c>
      <c r="F66" t="s">
        <v>39</v>
      </c>
      <c r="G66" t="str">
        <f>"00076670595"</f>
        <v>00076670595</v>
      </c>
      <c r="I66" t="s">
        <v>62</v>
      </c>
      <c r="L66" t="s">
        <v>41</v>
      </c>
      <c r="M66">
        <v>852131</v>
      </c>
      <c r="AG66">
        <v>757534.44</v>
      </c>
      <c r="AH66" s="1">
        <v>41306</v>
      </c>
      <c r="AI66" s="1">
        <v>42185</v>
      </c>
      <c r="AJ66" s="1">
        <v>41638</v>
      </c>
    </row>
    <row r="67" spans="1:36" ht="15">
      <c r="A67" t="str">
        <f>"4885688547"</f>
        <v>4885688547</v>
      </c>
      <c r="B67" t="str">
        <f t="shared" si="2"/>
        <v>02406911202</v>
      </c>
      <c r="C67" t="s">
        <v>13</v>
      </c>
      <c r="D67" t="s">
        <v>37</v>
      </c>
      <c r="E67" t="s">
        <v>115</v>
      </c>
      <c r="F67" t="s">
        <v>39</v>
      </c>
      <c r="G67" t="str">
        <f>"00076670595"</f>
        <v>00076670595</v>
      </c>
      <c r="I67" t="s">
        <v>62</v>
      </c>
      <c r="L67" t="s">
        <v>41</v>
      </c>
      <c r="M67">
        <v>954594</v>
      </c>
      <c r="AG67">
        <v>1079704.98</v>
      </c>
      <c r="AH67" s="1">
        <v>41306</v>
      </c>
      <c r="AI67" s="1">
        <v>42185</v>
      </c>
      <c r="AJ67" s="1">
        <v>41638</v>
      </c>
    </row>
    <row r="68" spans="1:36" ht="15">
      <c r="A68" t="str">
        <f>"488668298C"</f>
        <v>488668298C</v>
      </c>
      <c r="B68" t="str">
        <f t="shared" si="2"/>
        <v>02406911202</v>
      </c>
      <c r="C68" t="s">
        <v>13</v>
      </c>
      <c r="D68" t="s">
        <v>37</v>
      </c>
      <c r="E68" t="s">
        <v>115</v>
      </c>
      <c r="F68" t="s">
        <v>39</v>
      </c>
      <c r="G68" t="str">
        <f>"11667890153"</f>
        <v>11667890153</v>
      </c>
      <c r="I68" t="s">
        <v>116</v>
      </c>
      <c r="L68" t="s">
        <v>41</v>
      </c>
      <c r="M68">
        <v>27731</v>
      </c>
      <c r="AG68">
        <v>438096.48</v>
      </c>
      <c r="AH68" s="1">
        <v>41306</v>
      </c>
      <c r="AI68" s="1">
        <v>42185</v>
      </c>
      <c r="AJ68" s="1">
        <v>41638</v>
      </c>
    </row>
    <row r="69" spans="1:36" ht="15">
      <c r="A69" t="str">
        <f>"48864455F9"</f>
        <v>48864455F9</v>
      </c>
      <c r="B69" t="str">
        <f t="shared" si="2"/>
        <v>02406911202</v>
      </c>
      <c r="C69" t="s">
        <v>13</v>
      </c>
      <c r="D69" t="s">
        <v>37</v>
      </c>
      <c r="E69" t="s">
        <v>115</v>
      </c>
      <c r="F69" t="s">
        <v>39</v>
      </c>
      <c r="G69" t="str">
        <f>"10634380017"</f>
        <v>10634380017</v>
      </c>
      <c r="I69" t="s">
        <v>117</v>
      </c>
      <c r="L69" t="s">
        <v>41</v>
      </c>
      <c r="M69">
        <v>276723</v>
      </c>
      <c r="AG69">
        <v>16116</v>
      </c>
      <c r="AH69" s="1">
        <v>41306</v>
      </c>
      <c r="AI69" s="1">
        <v>42185</v>
      </c>
      <c r="AJ69" s="1">
        <v>41638</v>
      </c>
    </row>
    <row r="70" spans="1:36" ht="15">
      <c r="A70" t="str">
        <f>"4917572CC7"</f>
        <v>4917572CC7</v>
      </c>
      <c r="B70" t="str">
        <f t="shared" si="2"/>
        <v>02406911202</v>
      </c>
      <c r="C70" t="s">
        <v>13</v>
      </c>
      <c r="D70" t="s">
        <v>37</v>
      </c>
      <c r="E70" t="s">
        <v>118</v>
      </c>
      <c r="F70" t="s">
        <v>86</v>
      </c>
      <c r="G70" t="str">
        <f>"00076670595"</f>
        <v>00076670595</v>
      </c>
      <c r="I70" t="s">
        <v>62</v>
      </c>
      <c r="L70" t="s">
        <v>41</v>
      </c>
      <c r="M70">
        <v>72487</v>
      </c>
      <c r="AG70">
        <v>0</v>
      </c>
      <c r="AH70" s="1">
        <v>41306</v>
      </c>
      <c r="AI70" s="1">
        <v>41670</v>
      </c>
      <c r="AJ70" s="1">
        <v>41638</v>
      </c>
    </row>
    <row r="71" spans="1:36" ht="15">
      <c r="A71" t="str">
        <f>"4917417CDE"</f>
        <v>4917417CDE</v>
      </c>
      <c r="B71" t="str">
        <f t="shared" si="2"/>
        <v>02406911202</v>
      </c>
      <c r="C71" t="s">
        <v>13</v>
      </c>
      <c r="D71" t="s">
        <v>37</v>
      </c>
      <c r="E71" t="s">
        <v>118</v>
      </c>
      <c r="F71" t="s">
        <v>86</v>
      </c>
      <c r="G71" t="str">
        <f>"04874990155"</f>
        <v>04874990155</v>
      </c>
      <c r="I71" t="s">
        <v>59</v>
      </c>
      <c r="L71" t="s">
        <v>41</v>
      </c>
      <c r="M71">
        <v>9712</v>
      </c>
      <c r="AG71">
        <v>28098.1</v>
      </c>
      <c r="AH71" s="1">
        <v>41306</v>
      </c>
      <c r="AI71" s="1">
        <v>41670</v>
      </c>
      <c r="AJ71" s="1">
        <v>41638</v>
      </c>
    </row>
    <row r="72" spans="1:36" ht="15">
      <c r="A72" t="str">
        <f>"4917553D19"</f>
        <v>4917553D19</v>
      </c>
      <c r="B72" t="str">
        <f t="shared" si="2"/>
        <v>02406911202</v>
      </c>
      <c r="C72" t="s">
        <v>13</v>
      </c>
      <c r="D72" t="s">
        <v>37</v>
      </c>
      <c r="E72" t="s">
        <v>118</v>
      </c>
      <c r="F72" t="s">
        <v>86</v>
      </c>
      <c r="G72" t="str">
        <f>"01275170080"</f>
        <v>01275170080</v>
      </c>
      <c r="I72" t="s">
        <v>119</v>
      </c>
      <c r="L72" t="s">
        <v>41</v>
      </c>
      <c r="M72">
        <v>628415</v>
      </c>
      <c r="AG72">
        <v>630333.62</v>
      </c>
      <c r="AH72" s="1">
        <v>41306</v>
      </c>
      <c r="AI72" s="1">
        <v>41670</v>
      </c>
      <c r="AJ72" s="1">
        <v>41638</v>
      </c>
    </row>
    <row r="73" spans="1:36" ht="15">
      <c r="A73" t="str">
        <f>"4917338BHD"</f>
        <v>4917338BHD</v>
      </c>
      <c r="B73" t="str">
        <f t="shared" si="2"/>
        <v>02406911202</v>
      </c>
      <c r="C73" t="s">
        <v>13</v>
      </c>
      <c r="D73" t="s">
        <v>37</v>
      </c>
      <c r="E73" t="s">
        <v>118</v>
      </c>
      <c r="F73" t="s">
        <v>86</v>
      </c>
      <c r="G73" t="str">
        <f>"00422760587"</f>
        <v>00422760587</v>
      </c>
      <c r="I73" t="s">
        <v>120</v>
      </c>
      <c r="L73" t="s">
        <v>41</v>
      </c>
      <c r="M73">
        <v>143854</v>
      </c>
      <c r="AG73">
        <v>0</v>
      </c>
      <c r="AH73" s="1">
        <v>41306</v>
      </c>
      <c r="AI73" s="1">
        <v>41670</v>
      </c>
      <c r="AJ73" s="1">
        <v>41638</v>
      </c>
    </row>
    <row r="74" spans="1:36" ht="15">
      <c r="A74" t="str">
        <f>"491474825A"</f>
        <v>491474825A</v>
      </c>
      <c r="B74" t="str">
        <f t="shared" si="2"/>
        <v>02406911202</v>
      </c>
      <c r="C74" t="s">
        <v>13</v>
      </c>
      <c r="D74" t="s">
        <v>37</v>
      </c>
      <c r="E74" t="s">
        <v>118</v>
      </c>
      <c r="F74" t="s">
        <v>86</v>
      </c>
      <c r="G74" t="str">
        <f>"00077390599"</f>
        <v>00077390599</v>
      </c>
      <c r="I74" t="s">
        <v>121</v>
      </c>
      <c r="L74" t="s">
        <v>41</v>
      </c>
      <c r="M74">
        <v>2166</v>
      </c>
      <c r="AG74">
        <v>0</v>
      </c>
      <c r="AH74" s="1">
        <v>41306</v>
      </c>
      <c r="AI74" s="1">
        <v>41670</v>
      </c>
      <c r="AJ74" s="1">
        <v>41638</v>
      </c>
    </row>
    <row r="75" spans="1:36" ht="15">
      <c r="A75" t="str">
        <f>"4909411E1B"</f>
        <v>4909411E1B</v>
      </c>
      <c r="B75" t="str">
        <f t="shared" si="2"/>
        <v>02406911202</v>
      </c>
      <c r="C75" t="s">
        <v>13</v>
      </c>
      <c r="D75" t="s">
        <v>37</v>
      </c>
      <c r="E75" t="s">
        <v>122</v>
      </c>
      <c r="F75" t="s">
        <v>86</v>
      </c>
      <c r="G75" t="str">
        <f>"00901181008"</f>
        <v>00901181008</v>
      </c>
      <c r="I75" t="s">
        <v>123</v>
      </c>
      <c r="L75" t="s">
        <v>41</v>
      </c>
      <c r="M75">
        <v>3981</v>
      </c>
      <c r="AG75">
        <v>3206.21</v>
      </c>
      <c r="AH75" s="1">
        <v>41275</v>
      </c>
      <c r="AI75" s="1">
        <v>41639</v>
      </c>
      <c r="AJ75" s="1">
        <v>41638</v>
      </c>
    </row>
    <row r="76" spans="1:36" ht="15">
      <c r="A76" t="str">
        <f>"49095955F5"</f>
        <v>49095955F5</v>
      </c>
      <c r="B76" t="str">
        <f t="shared" si="2"/>
        <v>02406911202</v>
      </c>
      <c r="C76" t="s">
        <v>13</v>
      </c>
      <c r="D76" t="s">
        <v>37</v>
      </c>
      <c r="E76" t="s">
        <v>122</v>
      </c>
      <c r="F76" t="s">
        <v>86</v>
      </c>
      <c r="G76" t="str">
        <f>"00901181008"</f>
        <v>00901181008</v>
      </c>
      <c r="I76" t="s">
        <v>123</v>
      </c>
      <c r="L76" t="s">
        <v>41</v>
      </c>
      <c r="M76">
        <v>2343</v>
      </c>
      <c r="AG76">
        <v>1936.17</v>
      </c>
      <c r="AH76" s="1">
        <v>41275</v>
      </c>
      <c r="AI76" s="1">
        <v>41639</v>
      </c>
      <c r="AJ76" s="1">
        <v>41638</v>
      </c>
    </row>
    <row r="77" spans="1:36" ht="15">
      <c r="A77" t="str">
        <f>"49094362C0"</f>
        <v>49094362C0</v>
      </c>
      <c r="B77" t="str">
        <f t="shared" si="2"/>
        <v>02406911202</v>
      </c>
      <c r="C77" t="s">
        <v>13</v>
      </c>
      <c r="D77" t="s">
        <v>37</v>
      </c>
      <c r="E77" t="s">
        <v>122</v>
      </c>
      <c r="F77" t="s">
        <v>86</v>
      </c>
      <c r="G77" t="str">
        <f>"00317740371"</f>
        <v>00317740371</v>
      </c>
      <c r="I77" t="s">
        <v>124</v>
      </c>
      <c r="L77" t="s">
        <v>41</v>
      </c>
      <c r="M77">
        <v>13271</v>
      </c>
      <c r="AG77">
        <v>24041.74</v>
      </c>
      <c r="AH77" s="1">
        <v>41275</v>
      </c>
      <c r="AI77" s="1">
        <v>41639</v>
      </c>
      <c r="AJ77" s="1">
        <v>41638</v>
      </c>
    </row>
    <row r="78" spans="1:36" ht="15">
      <c r="A78" t="str">
        <f>"4909544BDD"</f>
        <v>4909544BDD</v>
      </c>
      <c r="B78" t="str">
        <f t="shared" si="2"/>
        <v>02406911202</v>
      </c>
      <c r="C78" t="s">
        <v>13</v>
      </c>
      <c r="D78" t="s">
        <v>37</v>
      </c>
      <c r="E78" t="s">
        <v>122</v>
      </c>
      <c r="F78" t="s">
        <v>86</v>
      </c>
      <c r="G78" t="str">
        <f>"00317740371"</f>
        <v>00317740371</v>
      </c>
      <c r="I78" t="s">
        <v>124</v>
      </c>
      <c r="L78" t="s">
        <v>41</v>
      </c>
      <c r="M78">
        <v>1282</v>
      </c>
      <c r="AG78">
        <v>1091</v>
      </c>
      <c r="AH78" s="1">
        <v>41275</v>
      </c>
      <c r="AI78" s="1">
        <v>41639</v>
      </c>
      <c r="AJ78" s="1">
        <v>41638</v>
      </c>
    </row>
    <row r="79" spans="1:36" ht="15">
      <c r="A79" t="str">
        <f>"49095554F3"</f>
        <v>49095554F3</v>
      </c>
      <c r="B79" t="str">
        <f t="shared" si="2"/>
        <v>02406911202</v>
      </c>
      <c r="C79" t="s">
        <v>13</v>
      </c>
      <c r="D79" t="s">
        <v>37</v>
      </c>
      <c r="E79" t="s">
        <v>122</v>
      </c>
      <c r="F79" t="s">
        <v>86</v>
      </c>
      <c r="G79" t="str">
        <f>"04299410375"</f>
        <v>04299410375</v>
      </c>
      <c r="I79" t="s">
        <v>125</v>
      </c>
      <c r="L79" t="s">
        <v>41</v>
      </c>
      <c r="M79">
        <v>20484</v>
      </c>
      <c r="AG79">
        <v>16929.09</v>
      </c>
      <c r="AH79" s="1">
        <v>41275</v>
      </c>
      <c r="AI79" s="1">
        <v>41639</v>
      </c>
      <c r="AJ79" s="1">
        <v>41638</v>
      </c>
    </row>
    <row r="80" spans="1:36" ht="15">
      <c r="A80" t="str">
        <f>"4909571228"</f>
        <v>4909571228</v>
      </c>
      <c r="B80" t="str">
        <f t="shared" si="2"/>
        <v>02406911202</v>
      </c>
      <c r="C80" t="s">
        <v>13</v>
      </c>
      <c r="D80" t="s">
        <v>37</v>
      </c>
      <c r="E80" t="s">
        <v>122</v>
      </c>
      <c r="F80" t="s">
        <v>86</v>
      </c>
      <c r="G80" t="str">
        <f>"05534090013"</f>
        <v>05534090013</v>
      </c>
      <c r="I80" t="s">
        <v>126</v>
      </c>
      <c r="L80" t="s">
        <v>41</v>
      </c>
      <c r="M80">
        <v>636</v>
      </c>
      <c r="AG80">
        <v>0</v>
      </c>
      <c r="AH80" s="1">
        <v>41275</v>
      </c>
      <c r="AI80" s="1">
        <v>41639</v>
      </c>
      <c r="AJ80" s="1">
        <v>41638</v>
      </c>
    </row>
    <row r="81" spans="1:36" ht="15">
      <c r="A81" t="str">
        <f>"490938155C"</f>
        <v>490938155C</v>
      </c>
      <c r="B81" t="str">
        <f t="shared" si="2"/>
        <v>02406911202</v>
      </c>
      <c r="C81" t="s">
        <v>13</v>
      </c>
      <c r="D81" t="s">
        <v>37</v>
      </c>
      <c r="E81" t="s">
        <v>122</v>
      </c>
      <c r="F81" t="s">
        <v>86</v>
      </c>
      <c r="G81" t="str">
        <f>"10209790152"</f>
        <v>10209790152</v>
      </c>
      <c r="I81" t="s">
        <v>127</v>
      </c>
      <c r="L81" t="s">
        <v>41</v>
      </c>
      <c r="M81">
        <v>8104</v>
      </c>
      <c r="AG81">
        <v>13909.24</v>
      </c>
      <c r="AH81" s="1">
        <v>41275</v>
      </c>
      <c r="AI81" s="1">
        <v>41639</v>
      </c>
      <c r="AJ81" s="1">
        <v>41638</v>
      </c>
    </row>
    <row r="82" spans="1:37" ht="15">
      <c r="A82" t="str">
        <f>"4902772770"</f>
        <v>4902772770</v>
      </c>
      <c r="B82" t="str">
        <f t="shared" si="2"/>
        <v>02406911202</v>
      </c>
      <c r="C82" t="s">
        <v>13</v>
      </c>
      <c r="D82" t="s">
        <v>37</v>
      </c>
      <c r="E82" t="s">
        <v>128</v>
      </c>
      <c r="F82" t="s">
        <v>106</v>
      </c>
      <c r="G82" t="str">
        <f>"07931650589"</f>
        <v>07931650589</v>
      </c>
      <c r="I82" t="s">
        <v>129</v>
      </c>
      <c r="L82" t="s">
        <v>41</v>
      </c>
      <c r="M82">
        <v>491248.23</v>
      </c>
      <c r="AG82">
        <v>701182.47</v>
      </c>
      <c r="AH82" s="1">
        <v>41315</v>
      </c>
      <c r="AI82" s="1">
        <v>42775</v>
      </c>
      <c r="AJ82" s="1">
        <v>41638</v>
      </c>
      <c r="AK82" t="s">
        <v>130</v>
      </c>
    </row>
    <row r="83" spans="1:37" ht="15">
      <c r="A83" t="str">
        <f>"4904037B58"</f>
        <v>4904037B58</v>
      </c>
      <c r="B83" t="str">
        <f t="shared" si="2"/>
        <v>02406911202</v>
      </c>
      <c r="C83" t="s">
        <v>13</v>
      </c>
      <c r="D83" t="s">
        <v>37</v>
      </c>
      <c r="E83" t="s">
        <v>128</v>
      </c>
      <c r="F83" t="s">
        <v>106</v>
      </c>
      <c r="G83" t="str">
        <f>"08641790152"</f>
        <v>08641790152</v>
      </c>
      <c r="I83" t="s">
        <v>114</v>
      </c>
      <c r="L83" t="s">
        <v>41</v>
      </c>
      <c r="M83">
        <v>106227.69</v>
      </c>
      <c r="AG83">
        <v>262326.45</v>
      </c>
      <c r="AH83" s="1">
        <v>41315</v>
      </c>
      <c r="AI83" s="1">
        <v>42775</v>
      </c>
      <c r="AJ83" s="1">
        <v>41638</v>
      </c>
      <c r="AK83" t="s">
        <v>131</v>
      </c>
    </row>
    <row r="84" spans="1:36" ht="15">
      <c r="A84" t="str">
        <f>"4903946043"</f>
        <v>4903946043</v>
      </c>
      <c r="B84" t="str">
        <f t="shared" si="2"/>
        <v>02406911202</v>
      </c>
      <c r="C84" t="s">
        <v>13</v>
      </c>
      <c r="D84" t="s">
        <v>37</v>
      </c>
      <c r="E84" t="s">
        <v>128</v>
      </c>
      <c r="F84" t="s">
        <v>106</v>
      </c>
      <c r="G84" t="str">
        <f>"08082461008"</f>
        <v>08082461008</v>
      </c>
      <c r="I84" t="s">
        <v>132</v>
      </c>
      <c r="L84" t="s">
        <v>41</v>
      </c>
      <c r="M84">
        <v>667452</v>
      </c>
      <c r="AG84">
        <v>0</v>
      </c>
      <c r="AH84" s="1">
        <v>41315</v>
      </c>
      <c r="AI84" s="1">
        <v>42775</v>
      </c>
      <c r="AJ84" s="1">
        <v>41638</v>
      </c>
    </row>
    <row r="85" spans="1:37" ht="15">
      <c r="A85" t="str">
        <f>"490577124C"</f>
        <v>490577124C</v>
      </c>
      <c r="B85" t="str">
        <f t="shared" si="2"/>
        <v>02406911202</v>
      </c>
      <c r="C85" t="s">
        <v>13</v>
      </c>
      <c r="D85" t="s">
        <v>37</v>
      </c>
      <c r="E85" t="s">
        <v>133</v>
      </c>
      <c r="F85" t="s">
        <v>106</v>
      </c>
      <c r="H85" t="str">
        <f>"03820920407"</f>
        <v>03820920407</v>
      </c>
      <c r="I85" t="s">
        <v>134</v>
      </c>
      <c r="L85" t="s">
        <v>41</v>
      </c>
      <c r="M85">
        <v>23999.92</v>
      </c>
      <c r="AG85">
        <v>134695.9</v>
      </c>
      <c r="AH85" s="1">
        <v>41373</v>
      </c>
      <c r="AI85" s="1">
        <v>42775</v>
      </c>
      <c r="AJ85" s="1">
        <v>41638</v>
      </c>
      <c r="AK85" t="s">
        <v>135</v>
      </c>
    </row>
    <row r="86" spans="1:37" ht="15">
      <c r="A86" t="str">
        <f>"4905852523"</f>
        <v>4905852523</v>
      </c>
      <c r="B86" t="str">
        <f t="shared" si="2"/>
        <v>02406911202</v>
      </c>
      <c r="C86" t="s">
        <v>13</v>
      </c>
      <c r="D86" t="s">
        <v>37</v>
      </c>
      <c r="E86" t="s">
        <v>128</v>
      </c>
      <c r="F86" t="s">
        <v>106</v>
      </c>
      <c r="G86" t="str">
        <f>"03748120155"</f>
        <v>03748120155</v>
      </c>
      <c r="I86" t="s">
        <v>136</v>
      </c>
      <c r="L86" t="s">
        <v>41</v>
      </c>
      <c r="M86">
        <v>52303.38</v>
      </c>
      <c r="AG86">
        <v>142754.49</v>
      </c>
      <c r="AH86" s="1">
        <v>41315</v>
      </c>
      <c r="AI86" s="1">
        <v>42775</v>
      </c>
      <c r="AJ86" s="1">
        <v>41638</v>
      </c>
      <c r="AK86" t="s">
        <v>137</v>
      </c>
    </row>
    <row r="87" spans="1:36" ht="15">
      <c r="A87" t="str">
        <f>"486081469A"</f>
        <v>486081469A</v>
      </c>
      <c r="B87" t="str">
        <f t="shared" si="2"/>
        <v>02406911202</v>
      </c>
      <c r="C87" t="s">
        <v>13</v>
      </c>
      <c r="D87" t="s">
        <v>37</v>
      </c>
      <c r="E87" t="s">
        <v>138</v>
      </c>
      <c r="F87" t="s">
        <v>86</v>
      </c>
      <c r="G87" t="str">
        <f>"93027710016"</f>
        <v>93027710016</v>
      </c>
      <c r="I87" t="s">
        <v>46</v>
      </c>
      <c r="L87" t="s">
        <v>41</v>
      </c>
      <c r="M87">
        <v>1129965</v>
      </c>
      <c r="AG87">
        <v>950564.99</v>
      </c>
      <c r="AH87" s="1">
        <v>41275</v>
      </c>
      <c r="AI87" s="1">
        <v>42369</v>
      </c>
      <c r="AJ87" s="1">
        <v>41638</v>
      </c>
    </row>
    <row r="88" spans="1:36" ht="15">
      <c r="A88" t="str">
        <f>"4903398C06"</f>
        <v>4903398C06</v>
      </c>
      <c r="B88" t="str">
        <f t="shared" si="2"/>
        <v>02406911202</v>
      </c>
      <c r="C88" t="s">
        <v>13</v>
      </c>
      <c r="D88" t="s">
        <v>37</v>
      </c>
      <c r="E88" t="s">
        <v>139</v>
      </c>
      <c r="F88" t="s">
        <v>89</v>
      </c>
      <c r="G88" t="str">
        <f>"91155450371"</f>
        <v>91155450371</v>
      </c>
      <c r="I88" t="s">
        <v>140</v>
      </c>
      <c r="L88" t="s">
        <v>41</v>
      </c>
      <c r="M88">
        <v>93101</v>
      </c>
      <c r="AG88">
        <v>0</v>
      </c>
      <c r="AH88" s="1">
        <v>41306</v>
      </c>
      <c r="AI88" s="1">
        <v>42018</v>
      </c>
      <c r="AJ88" s="1">
        <v>41638</v>
      </c>
    </row>
    <row r="89" spans="1:36" ht="15">
      <c r="A89" t="str">
        <f>"ZAF07BAF5D"</f>
        <v>ZAF07BAF5D</v>
      </c>
      <c r="B89" t="str">
        <f t="shared" si="2"/>
        <v>02406911202</v>
      </c>
      <c r="C89" t="s">
        <v>13</v>
      </c>
      <c r="D89" t="s">
        <v>37</v>
      </c>
      <c r="E89" t="s">
        <v>141</v>
      </c>
      <c r="F89" t="s">
        <v>86</v>
      </c>
      <c r="G89" t="str">
        <f>"91155450371"</f>
        <v>91155450371</v>
      </c>
      <c r="I89" t="s">
        <v>140</v>
      </c>
      <c r="L89" t="s">
        <v>41</v>
      </c>
      <c r="M89">
        <v>19800</v>
      </c>
      <c r="AG89">
        <v>25560</v>
      </c>
      <c r="AH89" s="1">
        <v>41426</v>
      </c>
      <c r="AI89" s="1">
        <v>42521</v>
      </c>
      <c r="AJ89" s="1">
        <v>41638</v>
      </c>
    </row>
    <row r="90" spans="1:36" ht="15">
      <c r="A90" t="str">
        <f>"ZC503B42F2"</f>
        <v>ZC503B42F2</v>
      </c>
      <c r="B90" t="str">
        <f t="shared" si="2"/>
        <v>02406911202</v>
      </c>
      <c r="C90" t="s">
        <v>13</v>
      </c>
      <c r="D90" t="s">
        <v>37</v>
      </c>
      <c r="E90" t="s">
        <v>142</v>
      </c>
      <c r="F90" t="s">
        <v>86</v>
      </c>
      <c r="G90" t="str">
        <f>"02154270595"</f>
        <v>02154270595</v>
      </c>
      <c r="I90" t="s">
        <v>143</v>
      </c>
      <c r="L90" t="s">
        <v>41</v>
      </c>
      <c r="M90">
        <v>27850</v>
      </c>
      <c r="AG90">
        <v>28327.16</v>
      </c>
      <c r="AH90" s="1">
        <v>41311</v>
      </c>
      <c r="AI90" s="1">
        <v>42040</v>
      </c>
      <c r="AJ90" s="1">
        <v>41638</v>
      </c>
    </row>
    <row r="91" spans="1:36" ht="15">
      <c r="A91" t="str">
        <f>"Z0E0884EBC"</f>
        <v>Z0E0884EBC</v>
      </c>
      <c r="B91" t="str">
        <f t="shared" si="2"/>
        <v>02406911202</v>
      </c>
      <c r="C91" t="s">
        <v>13</v>
      </c>
      <c r="D91" t="s">
        <v>37</v>
      </c>
      <c r="E91" t="s">
        <v>144</v>
      </c>
      <c r="F91" t="s">
        <v>86</v>
      </c>
      <c r="G91" t="str">
        <f>"00290910371"</f>
        <v>00290910371</v>
      </c>
      <c r="I91" t="s">
        <v>145</v>
      </c>
      <c r="L91" t="s">
        <v>41</v>
      </c>
      <c r="M91">
        <v>12800</v>
      </c>
      <c r="AG91">
        <v>12739.23</v>
      </c>
      <c r="AH91" s="1">
        <v>41311</v>
      </c>
      <c r="AI91" s="1">
        <v>41675</v>
      </c>
      <c r="AJ91" s="1">
        <v>41638</v>
      </c>
    </row>
    <row r="92" spans="1:36" ht="15">
      <c r="A92" t="str">
        <f>"49128682ED"</f>
        <v>49128682ED</v>
      </c>
      <c r="B92" t="str">
        <f t="shared" si="2"/>
        <v>02406911202</v>
      </c>
      <c r="C92" t="s">
        <v>13</v>
      </c>
      <c r="D92" t="s">
        <v>37</v>
      </c>
      <c r="E92" t="s">
        <v>146</v>
      </c>
      <c r="F92" t="s">
        <v>39</v>
      </c>
      <c r="G92" t="str">
        <f>"01785490408"</f>
        <v>01785490408</v>
      </c>
      <c r="I92" t="s">
        <v>147</v>
      </c>
      <c r="L92" t="s">
        <v>41</v>
      </c>
      <c r="M92">
        <v>71241</v>
      </c>
      <c r="AG92">
        <v>71240.5</v>
      </c>
      <c r="AH92" s="1">
        <v>41312</v>
      </c>
      <c r="AI92" s="1">
        <v>41639</v>
      </c>
      <c r="AJ92" s="1">
        <v>41638</v>
      </c>
    </row>
    <row r="93" spans="1:36" ht="15">
      <c r="A93" t="str">
        <f>"4893767049"</f>
        <v>4893767049</v>
      </c>
      <c r="B93" t="str">
        <f t="shared" si="2"/>
        <v>02406911202</v>
      </c>
      <c r="C93" t="s">
        <v>13</v>
      </c>
      <c r="D93" t="s">
        <v>37</v>
      </c>
      <c r="E93" t="s">
        <v>148</v>
      </c>
      <c r="F93" t="s">
        <v>86</v>
      </c>
      <c r="G93" t="str">
        <f>"01439370287"</f>
        <v>01439370287</v>
      </c>
      <c r="I93" t="s">
        <v>149</v>
      </c>
      <c r="L93" t="s">
        <v>41</v>
      </c>
      <c r="M93">
        <v>85681</v>
      </c>
      <c r="AG93">
        <v>85341.23</v>
      </c>
      <c r="AH93" s="1">
        <v>41275</v>
      </c>
      <c r="AI93" s="1">
        <v>42369</v>
      </c>
      <c r="AJ93" s="1">
        <v>41638</v>
      </c>
    </row>
    <row r="94" spans="1:36" ht="15">
      <c r="A94" t="str">
        <f>"4839135487"</f>
        <v>4839135487</v>
      </c>
      <c r="B94" t="str">
        <f t="shared" si="2"/>
        <v>02406911202</v>
      </c>
      <c r="C94" t="s">
        <v>13</v>
      </c>
      <c r="D94" t="s">
        <v>37</v>
      </c>
      <c r="E94" t="s">
        <v>150</v>
      </c>
      <c r="F94" t="s">
        <v>86</v>
      </c>
      <c r="G94" t="str">
        <f>"00492340583"</f>
        <v>00492340583</v>
      </c>
      <c r="I94" t="s">
        <v>151</v>
      </c>
      <c r="L94" t="s">
        <v>41</v>
      </c>
      <c r="M94">
        <v>139668</v>
      </c>
      <c r="AG94">
        <v>84965.56</v>
      </c>
      <c r="AH94" s="1">
        <v>41320</v>
      </c>
      <c r="AI94" s="1">
        <v>42049</v>
      </c>
      <c r="AJ94" s="1">
        <v>41638</v>
      </c>
    </row>
    <row r="95" spans="1:36" ht="15">
      <c r="A95" t="str">
        <f>"48806453AA"</f>
        <v>48806453AA</v>
      </c>
      <c r="B95" t="str">
        <f t="shared" si="2"/>
        <v>02406911202</v>
      </c>
      <c r="C95" t="s">
        <v>13</v>
      </c>
      <c r="D95" t="s">
        <v>37</v>
      </c>
      <c r="E95" t="s">
        <v>152</v>
      </c>
      <c r="F95" t="s">
        <v>86</v>
      </c>
      <c r="G95" t="str">
        <f>"00323310375"</f>
        <v>00323310375</v>
      </c>
      <c r="I95" t="s">
        <v>153</v>
      </c>
      <c r="L95" t="s">
        <v>41</v>
      </c>
      <c r="M95">
        <v>416005</v>
      </c>
      <c r="AG95">
        <v>338181.21</v>
      </c>
      <c r="AH95" s="1">
        <v>41275</v>
      </c>
      <c r="AI95" s="1">
        <v>42735</v>
      </c>
      <c r="AJ95" s="1">
        <v>41638</v>
      </c>
    </row>
    <row r="96" spans="1:36" ht="15">
      <c r="A96" t="str">
        <f>"4937733A2A"</f>
        <v>4937733A2A</v>
      </c>
      <c r="B96" t="str">
        <f t="shared" si="2"/>
        <v>02406911202</v>
      </c>
      <c r="C96" t="s">
        <v>13</v>
      </c>
      <c r="D96" t="s">
        <v>37</v>
      </c>
      <c r="E96" t="s">
        <v>154</v>
      </c>
      <c r="F96" t="s">
        <v>39</v>
      </c>
      <c r="G96" t="str">
        <f>"01681100150"</f>
        <v>01681100150</v>
      </c>
      <c r="I96" t="s">
        <v>155</v>
      </c>
      <c r="L96" t="s">
        <v>41</v>
      </c>
      <c r="M96">
        <v>8350</v>
      </c>
      <c r="AG96">
        <v>0</v>
      </c>
      <c r="AH96" s="1">
        <v>41320</v>
      </c>
      <c r="AI96" s="1">
        <v>41639</v>
      </c>
      <c r="AJ96" s="1">
        <v>41638</v>
      </c>
    </row>
    <row r="97" spans="1:36" ht="15">
      <c r="A97" t="str">
        <f>"4937852C5D"</f>
        <v>4937852C5D</v>
      </c>
      <c r="B97" t="str">
        <f t="shared" si="2"/>
        <v>02406911202</v>
      </c>
      <c r="C97" t="s">
        <v>13</v>
      </c>
      <c r="D97" t="s">
        <v>37</v>
      </c>
      <c r="E97" t="s">
        <v>154</v>
      </c>
      <c r="F97" t="s">
        <v>39</v>
      </c>
      <c r="G97" t="str">
        <f>"09018810151"</f>
        <v>09018810151</v>
      </c>
      <c r="I97" t="s">
        <v>156</v>
      </c>
      <c r="L97" t="s">
        <v>41</v>
      </c>
      <c r="M97">
        <v>6217</v>
      </c>
      <c r="AG97">
        <v>5947.22</v>
      </c>
      <c r="AH97" s="1">
        <v>41320</v>
      </c>
      <c r="AI97" s="1">
        <v>41639</v>
      </c>
      <c r="AJ97" s="1">
        <v>41638</v>
      </c>
    </row>
    <row r="98" spans="1:36" ht="15">
      <c r="A98" t="str">
        <f>"4937977387"</f>
        <v>4937977387</v>
      </c>
      <c r="B98" t="str">
        <f t="shared" si="2"/>
        <v>02406911202</v>
      </c>
      <c r="C98" t="s">
        <v>13</v>
      </c>
      <c r="D98" t="s">
        <v>37</v>
      </c>
      <c r="E98" t="s">
        <v>154</v>
      </c>
      <c r="F98" t="s">
        <v>39</v>
      </c>
      <c r="G98" t="str">
        <f>"02129190373"</f>
        <v>02129190373</v>
      </c>
      <c r="I98" t="s">
        <v>157</v>
      </c>
      <c r="L98" t="s">
        <v>41</v>
      </c>
      <c r="M98">
        <v>8386</v>
      </c>
      <c r="AG98">
        <v>60781.91</v>
      </c>
      <c r="AH98" s="1">
        <v>41320</v>
      </c>
      <c r="AI98" s="1">
        <v>41639</v>
      </c>
      <c r="AJ98" s="1">
        <v>41638</v>
      </c>
    </row>
    <row r="99" spans="1:36" ht="15">
      <c r="A99" t="str">
        <f>"4938007C46"</f>
        <v>4938007C46</v>
      </c>
      <c r="B99" t="str">
        <f t="shared" si="2"/>
        <v>02406911202</v>
      </c>
      <c r="C99" t="s">
        <v>13</v>
      </c>
      <c r="D99" t="s">
        <v>37</v>
      </c>
      <c r="E99" t="s">
        <v>154</v>
      </c>
      <c r="F99" t="s">
        <v>39</v>
      </c>
      <c r="G99" t="str">
        <f>"00768920357"</f>
        <v>00768920357</v>
      </c>
      <c r="I99" t="s">
        <v>158</v>
      </c>
      <c r="L99" t="s">
        <v>41</v>
      </c>
      <c r="M99">
        <v>10500</v>
      </c>
      <c r="AG99">
        <v>3675</v>
      </c>
      <c r="AH99" s="1">
        <v>41320</v>
      </c>
      <c r="AI99" s="1">
        <v>41639</v>
      </c>
      <c r="AJ99" s="1">
        <v>41638</v>
      </c>
    </row>
    <row r="100" spans="1:36" ht="15">
      <c r="A100" t="str">
        <f>"492526486C"</f>
        <v>492526486C</v>
      </c>
      <c r="B100" t="str">
        <f t="shared" si="2"/>
        <v>02406911202</v>
      </c>
      <c r="C100" t="s">
        <v>13</v>
      </c>
      <c r="D100" t="s">
        <v>37</v>
      </c>
      <c r="E100" t="s">
        <v>159</v>
      </c>
      <c r="F100" t="s">
        <v>89</v>
      </c>
      <c r="G100" t="str">
        <f>"01458460217"</f>
        <v>01458460217</v>
      </c>
      <c r="I100" t="s">
        <v>160</v>
      </c>
      <c r="L100" t="s">
        <v>41</v>
      </c>
      <c r="M100">
        <v>3930</v>
      </c>
      <c r="AG100">
        <v>1064.58</v>
      </c>
      <c r="AH100" s="1">
        <v>41323</v>
      </c>
      <c r="AI100" s="1">
        <v>41687</v>
      </c>
      <c r="AJ100" s="1">
        <v>41638</v>
      </c>
    </row>
    <row r="101" spans="1:36" ht="15">
      <c r="A101" t="str">
        <f>"4925108730"</f>
        <v>4925108730</v>
      </c>
      <c r="B101" t="str">
        <f t="shared" si="2"/>
        <v>02406911202</v>
      </c>
      <c r="C101" t="s">
        <v>13</v>
      </c>
      <c r="D101" t="s">
        <v>37</v>
      </c>
      <c r="E101" t="s">
        <v>159</v>
      </c>
      <c r="F101" t="s">
        <v>89</v>
      </c>
      <c r="G101" t="str">
        <f>"02285440398"</f>
        <v>02285440398</v>
      </c>
      <c r="I101" t="s">
        <v>161</v>
      </c>
      <c r="L101" t="s">
        <v>41</v>
      </c>
      <c r="M101">
        <v>28958</v>
      </c>
      <c r="AG101">
        <v>11378.2</v>
      </c>
      <c r="AH101" s="1">
        <v>41323</v>
      </c>
      <c r="AI101" s="1">
        <v>41687</v>
      </c>
      <c r="AJ101" s="1">
        <v>41638</v>
      </c>
    </row>
    <row r="102" spans="1:36" ht="15">
      <c r="A102" t="str">
        <f>"49255135E8"</f>
        <v>49255135E8</v>
      </c>
      <c r="B102" t="str">
        <f t="shared" si="2"/>
        <v>02406911202</v>
      </c>
      <c r="C102" t="s">
        <v>13</v>
      </c>
      <c r="D102" t="s">
        <v>37</v>
      </c>
      <c r="E102" t="s">
        <v>159</v>
      </c>
      <c r="F102" t="s">
        <v>89</v>
      </c>
      <c r="G102" t="str">
        <f>"02200990352"</f>
        <v>02200990352</v>
      </c>
      <c r="I102" t="s">
        <v>162</v>
      </c>
      <c r="L102" t="s">
        <v>41</v>
      </c>
      <c r="M102">
        <v>1620</v>
      </c>
      <c r="AG102">
        <v>0</v>
      </c>
      <c r="AH102" s="1">
        <v>41323</v>
      </c>
      <c r="AI102" s="1">
        <v>41687</v>
      </c>
      <c r="AJ102" s="1">
        <v>41638</v>
      </c>
    </row>
    <row r="103" spans="1:36" ht="15">
      <c r="A103" t="str">
        <f>"4925054B1F"</f>
        <v>4925054B1F</v>
      </c>
      <c r="B103" t="str">
        <f t="shared" si="2"/>
        <v>02406911202</v>
      </c>
      <c r="C103" t="s">
        <v>13</v>
      </c>
      <c r="D103" t="s">
        <v>37</v>
      </c>
      <c r="E103" t="s">
        <v>159</v>
      </c>
      <c r="F103" t="s">
        <v>89</v>
      </c>
      <c r="G103" t="str">
        <f>"01122350380"</f>
        <v>01122350380</v>
      </c>
      <c r="I103" t="s">
        <v>163</v>
      </c>
      <c r="L103" t="s">
        <v>41</v>
      </c>
      <c r="M103">
        <v>10000</v>
      </c>
      <c r="AG103">
        <v>0</v>
      </c>
      <c r="AH103" s="1">
        <v>41323</v>
      </c>
      <c r="AI103" s="1">
        <v>41687</v>
      </c>
      <c r="AJ103" s="1">
        <v>41638</v>
      </c>
    </row>
    <row r="104" spans="1:36" ht="15">
      <c r="A104" t="str">
        <f>"492534399D"</f>
        <v>492534399D</v>
      </c>
      <c r="B104" t="str">
        <f t="shared" si="2"/>
        <v>02406911202</v>
      </c>
      <c r="C104" t="s">
        <v>13</v>
      </c>
      <c r="D104" t="s">
        <v>37</v>
      </c>
      <c r="E104" t="s">
        <v>159</v>
      </c>
      <c r="F104" t="s">
        <v>89</v>
      </c>
      <c r="G104" t="str">
        <f>"01633870348"</f>
        <v>01633870348</v>
      </c>
      <c r="I104" t="s">
        <v>164</v>
      </c>
      <c r="L104" t="s">
        <v>41</v>
      </c>
      <c r="M104">
        <v>3210</v>
      </c>
      <c r="AG104">
        <v>0</v>
      </c>
      <c r="AH104" s="1">
        <v>41323</v>
      </c>
      <c r="AI104" s="1">
        <v>41687</v>
      </c>
      <c r="AJ104" s="1">
        <v>41638</v>
      </c>
    </row>
    <row r="105" spans="1:36" ht="15">
      <c r="A105" t="str">
        <f>"4925437730"</f>
        <v>4925437730</v>
      </c>
      <c r="B105" t="str">
        <f t="shared" si="2"/>
        <v>02406911202</v>
      </c>
      <c r="C105" t="s">
        <v>13</v>
      </c>
      <c r="D105" t="s">
        <v>37</v>
      </c>
      <c r="E105" t="s">
        <v>159</v>
      </c>
      <c r="F105" t="s">
        <v>89</v>
      </c>
      <c r="G105" t="str">
        <f>"02373581202"</f>
        <v>02373581202</v>
      </c>
      <c r="I105" t="s">
        <v>165</v>
      </c>
      <c r="L105" t="s">
        <v>41</v>
      </c>
      <c r="M105">
        <v>957</v>
      </c>
      <c r="AG105">
        <v>0</v>
      </c>
      <c r="AH105" s="1">
        <v>41323</v>
      </c>
      <c r="AI105" s="1">
        <v>41687</v>
      </c>
      <c r="AJ105" s="1">
        <v>41638</v>
      </c>
    </row>
    <row r="106" spans="1:36" ht="15">
      <c r="A106" t="str">
        <f>"492540197A"</f>
        <v>492540197A</v>
      </c>
      <c r="B106" t="str">
        <f t="shared" si="2"/>
        <v>02406911202</v>
      </c>
      <c r="C106" t="s">
        <v>13</v>
      </c>
      <c r="D106" t="s">
        <v>37</v>
      </c>
      <c r="E106" t="s">
        <v>159</v>
      </c>
      <c r="F106" t="s">
        <v>89</v>
      </c>
      <c r="G106" t="str">
        <f>"06324460150"</f>
        <v>06324460150</v>
      </c>
      <c r="I106" t="s">
        <v>166</v>
      </c>
      <c r="L106" t="s">
        <v>41</v>
      </c>
      <c r="M106">
        <v>1695</v>
      </c>
      <c r="AG106">
        <v>0</v>
      </c>
      <c r="AH106" s="1">
        <v>41323</v>
      </c>
      <c r="AI106" s="1">
        <v>41687</v>
      </c>
      <c r="AJ106" s="1">
        <v>41638</v>
      </c>
    </row>
    <row r="107" spans="1:36" ht="15">
      <c r="A107" t="str">
        <f>"4935194AEA"</f>
        <v>4935194AEA</v>
      </c>
      <c r="B107" t="str">
        <f t="shared" si="2"/>
        <v>02406911202</v>
      </c>
      <c r="C107" t="s">
        <v>13</v>
      </c>
      <c r="D107" t="s">
        <v>37</v>
      </c>
      <c r="E107" t="s">
        <v>167</v>
      </c>
      <c r="F107" t="s">
        <v>89</v>
      </c>
      <c r="G107" t="str">
        <f>"00654080076"</f>
        <v>00654080076</v>
      </c>
      <c r="I107" t="s">
        <v>168</v>
      </c>
      <c r="L107" t="s">
        <v>41</v>
      </c>
      <c r="M107">
        <v>6336</v>
      </c>
      <c r="AG107">
        <v>6336</v>
      </c>
      <c r="AH107" s="1">
        <v>41334</v>
      </c>
      <c r="AI107" s="1">
        <v>41698</v>
      </c>
      <c r="AJ107" s="1">
        <v>41638</v>
      </c>
    </row>
    <row r="108" spans="1:36" ht="15">
      <c r="A108" t="str">
        <f>"4935194AEA"</f>
        <v>4935194AEA</v>
      </c>
      <c r="B108" t="str">
        <f t="shared" si="2"/>
        <v>02406911202</v>
      </c>
      <c r="C108" t="s">
        <v>13</v>
      </c>
      <c r="D108" t="s">
        <v>37</v>
      </c>
      <c r="E108" t="s">
        <v>167</v>
      </c>
      <c r="F108" t="s">
        <v>89</v>
      </c>
      <c r="G108" t="str">
        <f>"02152240806"</f>
        <v>02152240806</v>
      </c>
      <c r="I108" t="s">
        <v>169</v>
      </c>
      <c r="L108" t="s">
        <v>45</v>
      </c>
      <c r="AJ108" s="1">
        <v>41638</v>
      </c>
    </row>
    <row r="109" spans="1:36" ht="15">
      <c r="A109" t="str">
        <f aca="true" t="shared" si="3" ref="A109:A114">"4413428BFD"</f>
        <v>4413428BFD</v>
      </c>
      <c r="B109" t="str">
        <f t="shared" si="2"/>
        <v>02406911202</v>
      </c>
      <c r="C109" t="s">
        <v>13</v>
      </c>
      <c r="D109" t="s">
        <v>37</v>
      </c>
      <c r="E109" t="s">
        <v>170</v>
      </c>
      <c r="F109" t="s">
        <v>89</v>
      </c>
      <c r="G109" t="str">
        <f>"00674840152"</f>
        <v>00674840152</v>
      </c>
      <c r="I109" t="s">
        <v>171</v>
      </c>
      <c r="L109" t="s">
        <v>45</v>
      </c>
      <c r="AJ109" s="1">
        <v>41638</v>
      </c>
    </row>
    <row r="110" spans="1:36" ht="15">
      <c r="A110" t="str">
        <f t="shared" si="3"/>
        <v>4413428BFD</v>
      </c>
      <c r="B110" t="str">
        <f t="shared" si="2"/>
        <v>02406911202</v>
      </c>
      <c r="C110" t="s">
        <v>13</v>
      </c>
      <c r="D110" t="s">
        <v>37</v>
      </c>
      <c r="E110" t="s">
        <v>170</v>
      </c>
      <c r="F110" t="s">
        <v>89</v>
      </c>
      <c r="G110" t="str">
        <f>"00615700374"</f>
        <v>00615700374</v>
      </c>
      <c r="I110" t="s">
        <v>172</v>
      </c>
      <c r="L110" t="s">
        <v>45</v>
      </c>
      <c r="AJ110" s="1">
        <v>41638</v>
      </c>
    </row>
    <row r="111" spans="1:36" ht="15">
      <c r="A111" t="str">
        <f t="shared" si="3"/>
        <v>4413428BFD</v>
      </c>
      <c r="B111" t="str">
        <f t="shared" si="2"/>
        <v>02406911202</v>
      </c>
      <c r="C111" t="s">
        <v>13</v>
      </c>
      <c r="D111" t="s">
        <v>37</v>
      </c>
      <c r="E111" t="s">
        <v>170</v>
      </c>
      <c r="F111" t="s">
        <v>89</v>
      </c>
      <c r="G111" t="str">
        <f>"07077990013"</f>
        <v>07077990013</v>
      </c>
      <c r="I111" t="s">
        <v>173</v>
      </c>
      <c r="L111" t="s">
        <v>41</v>
      </c>
      <c r="M111">
        <v>97290</v>
      </c>
      <c r="AG111">
        <v>42025.5</v>
      </c>
      <c r="AH111" s="1">
        <v>41365</v>
      </c>
      <c r="AI111" s="1">
        <v>41729</v>
      </c>
      <c r="AJ111" s="1">
        <v>41638</v>
      </c>
    </row>
    <row r="112" spans="1:36" ht="15">
      <c r="A112" t="str">
        <f t="shared" si="3"/>
        <v>4413428BFD</v>
      </c>
      <c r="B112" t="str">
        <f t="shared" si="2"/>
        <v>02406911202</v>
      </c>
      <c r="C112" t="s">
        <v>13</v>
      </c>
      <c r="D112" t="s">
        <v>37</v>
      </c>
      <c r="E112" t="s">
        <v>170</v>
      </c>
      <c r="F112" t="s">
        <v>89</v>
      </c>
      <c r="G112" t="str">
        <f>"00725050157"</f>
        <v>00725050157</v>
      </c>
      <c r="I112" t="s">
        <v>174</v>
      </c>
      <c r="L112" t="s">
        <v>45</v>
      </c>
      <c r="AJ112" s="1">
        <v>41638</v>
      </c>
    </row>
    <row r="113" spans="1:36" ht="15">
      <c r="A113" t="str">
        <f t="shared" si="3"/>
        <v>4413428BFD</v>
      </c>
      <c r="B113" t="str">
        <f t="shared" si="2"/>
        <v>02406911202</v>
      </c>
      <c r="C113" t="s">
        <v>13</v>
      </c>
      <c r="D113" t="s">
        <v>37</v>
      </c>
      <c r="E113" t="s">
        <v>170</v>
      </c>
      <c r="F113" t="s">
        <v>89</v>
      </c>
      <c r="G113" t="str">
        <f>"10777700153"</f>
        <v>10777700153</v>
      </c>
      <c r="I113" t="s">
        <v>175</v>
      </c>
      <c r="L113" t="s">
        <v>45</v>
      </c>
      <c r="AJ113" s="1">
        <v>41638</v>
      </c>
    </row>
    <row r="114" spans="1:36" ht="15">
      <c r="A114" t="str">
        <f t="shared" si="3"/>
        <v>4413428BFD</v>
      </c>
      <c r="B114" t="str">
        <f t="shared" si="2"/>
        <v>02406911202</v>
      </c>
      <c r="C114" t="s">
        <v>13</v>
      </c>
      <c r="D114" t="s">
        <v>37</v>
      </c>
      <c r="E114" t="s">
        <v>170</v>
      </c>
      <c r="F114" t="s">
        <v>89</v>
      </c>
      <c r="G114" t="str">
        <f>"06600500158"</f>
        <v>06600500158</v>
      </c>
      <c r="I114" t="s">
        <v>176</v>
      </c>
      <c r="L114" t="s">
        <v>45</v>
      </c>
      <c r="AJ114" s="1">
        <v>41638</v>
      </c>
    </row>
    <row r="115" spans="1:36" ht="15">
      <c r="A115" t="str">
        <f aca="true" t="shared" si="4" ref="A115:A120">"44134638E0"</f>
        <v>44134638E0</v>
      </c>
      <c r="B115" t="str">
        <f t="shared" si="2"/>
        <v>02406911202</v>
      </c>
      <c r="C115" t="s">
        <v>13</v>
      </c>
      <c r="D115" t="s">
        <v>37</v>
      </c>
      <c r="E115" t="s">
        <v>170</v>
      </c>
      <c r="F115" t="s">
        <v>89</v>
      </c>
      <c r="G115" t="str">
        <f>"00674840152"</f>
        <v>00674840152</v>
      </c>
      <c r="I115" t="s">
        <v>171</v>
      </c>
      <c r="L115" t="s">
        <v>45</v>
      </c>
      <c r="AJ115" s="1">
        <v>41638</v>
      </c>
    </row>
    <row r="116" spans="1:36" ht="15">
      <c r="A116" t="str">
        <f t="shared" si="4"/>
        <v>44134638E0</v>
      </c>
      <c r="B116" t="str">
        <f t="shared" si="2"/>
        <v>02406911202</v>
      </c>
      <c r="C116" t="s">
        <v>13</v>
      </c>
      <c r="D116" t="s">
        <v>37</v>
      </c>
      <c r="E116" t="s">
        <v>170</v>
      </c>
      <c r="F116" t="s">
        <v>89</v>
      </c>
      <c r="G116" t="str">
        <f>"00615700374"</f>
        <v>00615700374</v>
      </c>
      <c r="I116" t="s">
        <v>172</v>
      </c>
      <c r="L116" t="s">
        <v>45</v>
      </c>
      <c r="AJ116" s="1">
        <v>41638</v>
      </c>
    </row>
    <row r="117" spans="1:36" ht="15">
      <c r="A117" t="str">
        <f t="shared" si="4"/>
        <v>44134638E0</v>
      </c>
      <c r="B117" t="str">
        <f t="shared" si="2"/>
        <v>02406911202</v>
      </c>
      <c r="C117" t="s">
        <v>13</v>
      </c>
      <c r="D117" t="s">
        <v>37</v>
      </c>
      <c r="E117" t="s">
        <v>170</v>
      </c>
      <c r="F117" t="s">
        <v>89</v>
      </c>
      <c r="G117" t="str">
        <f>"07077990013"</f>
        <v>07077990013</v>
      </c>
      <c r="I117" t="s">
        <v>173</v>
      </c>
      <c r="L117" t="s">
        <v>45</v>
      </c>
      <c r="AJ117" s="1">
        <v>41638</v>
      </c>
    </row>
    <row r="118" spans="1:36" ht="15">
      <c r="A118" t="str">
        <f t="shared" si="4"/>
        <v>44134638E0</v>
      </c>
      <c r="B118" t="str">
        <f t="shared" si="2"/>
        <v>02406911202</v>
      </c>
      <c r="C118" t="s">
        <v>13</v>
      </c>
      <c r="D118" t="s">
        <v>37</v>
      </c>
      <c r="E118" t="s">
        <v>170</v>
      </c>
      <c r="F118" t="s">
        <v>89</v>
      </c>
      <c r="G118" t="str">
        <f>"00725050157"</f>
        <v>00725050157</v>
      </c>
      <c r="I118" t="s">
        <v>174</v>
      </c>
      <c r="L118" t="s">
        <v>45</v>
      </c>
      <c r="AJ118" s="1">
        <v>41638</v>
      </c>
    </row>
    <row r="119" spans="1:36" ht="15">
      <c r="A119" t="str">
        <f t="shared" si="4"/>
        <v>44134638E0</v>
      </c>
      <c r="B119" t="str">
        <f t="shared" si="2"/>
        <v>02406911202</v>
      </c>
      <c r="C119" t="s">
        <v>13</v>
      </c>
      <c r="D119" t="s">
        <v>37</v>
      </c>
      <c r="E119" t="s">
        <v>170</v>
      </c>
      <c r="F119" t="s">
        <v>89</v>
      </c>
      <c r="G119" t="str">
        <f>"10777700153"</f>
        <v>10777700153</v>
      </c>
      <c r="I119" t="s">
        <v>175</v>
      </c>
      <c r="L119" t="s">
        <v>41</v>
      </c>
      <c r="M119">
        <v>59552</v>
      </c>
      <c r="AG119">
        <v>28169.99</v>
      </c>
      <c r="AH119" s="1">
        <v>41365</v>
      </c>
      <c r="AI119" s="1">
        <v>41729</v>
      </c>
      <c r="AJ119" s="1">
        <v>41638</v>
      </c>
    </row>
    <row r="120" spans="1:36" ht="15">
      <c r="A120" t="str">
        <f t="shared" si="4"/>
        <v>44134638E0</v>
      </c>
      <c r="B120" t="str">
        <f t="shared" si="2"/>
        <v>02406911202</v>
      </c>
      <c r="C120" t="s">
        <v>13</v>
      </c>
      <c r="D120" t="s">
        <v>37</v>
      </c>
      <c r="E120" t="s">
        <v>170</v>
      </c>
      <c r="F120" t="s">
        <v>89</v>
      </c>
      <c r="G120" t="str">
        <f>"06600500158"</f>
        <v>06600500158</v>
      </c>
      <c r="I120" t="s">
        <v>176</v>
      </c>
      <c r="L120" t="s">
        <v>45</v>
      </c>
      <c r="AJ120" s="1">
        <v>41638</v>
      </c>
    </row>
    <row r="121" spans="1:36" ht="15">
      <c r="A121" t="str">
        <f>"4951034A7F"</f>
        <v>4951034A7F</v>
      </c>
      <c r="B121" t="str">
        <f t="shared" si="2"/>
        <v>02406911202</v>
      </c>
      <c r="C121" t="s">
        <v>13</v>
      </c>
      <c r="D121" t="s">
        <v>37</v>
      </c>
      <c r="E121" t="s">
        <v>55</v>
      </c>
      <c r="F121" t="s">
        <v>39</v>
      </c>
      <c r="G121" t="str">
        <f>"06037901003"</f>
        <v>06037901003</v>
      </c>
      <c r="I121" t="s">
        <v>177</v>
      </c>
      <c r="L121" t="s">
        <v>41</v>
      </c>
      <c r="M121">
        <v>8718</v>
      </c>
      <c r="AG121">
        <v>7846.44</v>
      </c>
      <c r="AH121" s="1">
        <v>41331</v>
      </c>
      <c r="AI121" s="1">
        <v>41670</v>
      </c>
      <c r="AJ121" s="1">
        <v>41638</v>
      </c>
    </row>
    <row r="122" spans="1:36" ht="15">
      <c r="A122" t="str">
        <f>"495104753B"</f>
        <v>495104753B</v>
      </c>
      <c r="B122" t="str">
        <f t="shared" si="2"/>
        <v>02406911202</v>
      </c>
      <c r="C122" t="s">
        <v>13</v>
      </c>
      <c r="D122" t="s">
        <v>37</v>
      </c>
      <c r="E122" t="s">
        <v>55</v>
      </c>
      <c r="F122" t="s">
        <v>39</v>
      </c>
      <c r="G122" t="str">
        <f>"10051170156"</f>
        <v>10051170156</v>
      </c>
      <c r="I122" t="s">
        <v>178</v>
      </c>
      <c r="L122" t="s">
        <v>41</v>
      </c>
      <c r="M122">
        <v>1197</v>
      </c>
      <c r="AG122">
        <v>13092.19</v>
      </c>
      <c r="AH122" s="1">
        <v>41331</v>
      </c>
      <c r="AI122" s="1">
        <v>41670</v>
      </c>
      <c r="AJ122" s="1">
        <v>41638</v>
      </c>
    </row>
    <row r="123" spans="1:36" ht="15">
      <c r="A123" t="str">
        <f>"4949444A63"</f>
        <v>4949444A63</v>
      </c>
      <c r="B123" t="str">
        <f t="shared" si="2"/>
        <v>02406911202</v>
      </c>
      <c r="C123" t="s">
        <v>13</v>
      </c>
      <c r="D123" t="s">
        <v>37</v>
      </c>
      <c r="E123" t="s">
        <v>55</v>
      </c>
      <c r="F123" t="s">
        <v>39</v>
      </c>
      <c r="G123" t="str">
        <f>"10051170156"</f>
        <v>10051170156</v>
      </c>
      <c r="I123" t="s">
        <v>178</v>
      </c>
      <c r="L123" t="s">
        <v>41</v>
      </c>
      <c r="M123">
        <v>9581</v>
      </c>
      <c r="AG123">
        <v>13252.75</v>
      </c>
      <c r="AH123" s="1">
        <v>41331</v>
      </c>
      <c r="AI123" s="1">
        <v>41670</v>
      </c>
      <c r="AJ123" s="1">
        <v>41638</v>
      </c>
    </row>
    <row r="124" spans="1:36" ht="15">
      <c r="A124" t="str">
        <f>"49509938AA"</f>
        <v>49509938AA</v>
      </c>
      <c r="B124" t="str">
        <f t="shared" si="2"/>
        <v>02406911202</v>
      </c>
      <c r="C124" t="s">
        <v>13</v>
      </c>
      <c r="D124" t="s">
        <v>37</v>
      </c>
      <c r="E124" t="s">
        <v>55</v>
      </c>
      <c r="F124" t="s">
        <v>39</v>
      </c>
      <c r="G124" t="str">
        <f>"02292260599"</f>
        <v>02292260599</v>
      </c>
      <c r="I124" t="s">
        <v>56</v>
      </c>
      <c r="L124" t="s">
        <v>41</v>
      </c>
      <c r="M124">
        <v>143793</v>
      </c>
      <c r="AG124">
        <v>135883.6</v>
      </c>
      <c r="AH124" s="1">
        <v>41331</v>
      </c>
      <c r="AI124" s="1">
        <v>41670</v>
      </c>
      <c r="AJ124" s="1">
        <v>41638</v>
      </c>
    </row>
    <row r="125" spans="1:36" ht="15">
      <c r="A125" t="str">
        <f>"494931826B"</f>
        <v>494931826B</v>
      </c>
      <c r="B125" t="str">
        <f t="shared" si="2"/>
        <v>02406911202</v>
      </c>
      <c r="C125" t="s">
        <v>13</v>
      </c>
      <c r="D125" t="s">
        <v>37</v>
      </c>
      <c r="E125" t="s">
        <v>55</v>
      </c>
      <c r="F125" t="s">
        <v>39</v>
      </c>
      <c r="G125" t="str">
        <f>"00737420158"</f>
        <v>00737420158</v>
      </c>
      <c r="I125" t="s">
        <v>179</v>
      </c>
      <c r="L125" t="s">
        <v>41</v>
      </c>
      <c r="M125">
        <v>47772</v>
      </c>
      <c r="AG125">
        <v>174367.8</v>
      </c>
      <c r="AH125" s="1">
        <v>41331</v>
      </c>
      <c r="AI125" s="1">
        <v>41670</v>
      </c>
      <c r="AJ125" s="1">
        <v>41638</v>
      </c>
    </row>
    <row r="126" spans="1:36" ht="15">
      <c r="A126" t="str">
        <f>"49494130D1"</f>
        <v>49494130D1</v>
      </c>
      <c r="B126" t="str">
        <f t="shared" si="2"/>
        <v>02406911202</v>
      </c>
      <c r="C126" t="s">
        <v>13</v>
      </c>
      <c r="D126" t="s">
        <v>37</v>
      </c>
      <c r="E126" t="s">
        <v>55</v>
      </c>
      <c r="F126" t="s">
        <v>39</v>
      </c>
      <c r="G126" t="str">
        <f>"13179250157"</f>
        <v>13179250157</v>
      </c>
      <c r="I126" t="s">
        <v>75</v>
      </c>
      <c r="L126" t="s">
        <v>41</v>
      </c>
      <c r="M126">
        <v>27447</v>
      </c>
      <c r="AG126">
        <v>65924.14</v>
      </c>
      <c r="AH126" s="1">
        <v>41331</v>
      </c>
      <c r="AI126" s="1">
        <v>41670</v>
      </c>
      <c r="AJ126" s="1">
        <v>41638</v>
      </c>
    </row>
    <row r="127" spans="1:36" ht="15">
      <c r="A127" t="str">
        <f>"4951019E1D"</f>
        <v>4951019E1D</v>
      </c>
      <c r="B127" t="str">
        <f t="shared" si="2"/>
        <v>02406911202</v>
      </c>
      <c r="C127" t="s">
        <v>13</v>
      </c>
      <c r="D127" t="s">
        <v>37</v>
      </c>
      <c r="E127" t="s">
        <v>55</v>
      </c>
      <c r="F127" t="s">
        <v>39</v>
      </c>
      <c r="G127" t="str">
        <f>"06954380157"</f>
        <v>06954380157</v>
      </c>
      <c r="I127" t="s">
        <v>180</v>
      </c>
      <c r="L127" t="s">
        <v>41</v>
      </c>
      <c r="M127">
        <v>22473</v>
      </c>
      <c r="AG127">
        <v>69851.25</v>
      </c>
      <c r="AH127" s="1">
        <v>41331</v>
      </c>
      <c r="AI127" s="1">
        <v>41670</v>
      </c>
      <c r="AJ127" s="1">
        <v>41638</v>
      </c>
    </row>
    <row r="128" spans="1:36" ht="15">
      <c r="A128" t="str">
        <f>"4949350CD0"</f>
        <v>4949350CD0</v>
      </c>
      <c r="B128" t="str">
        <f t="shared" si="2"/>
        <v>02406911202</v>
      </c>
      <c r="C128" t="s">
        <v>13</v>
      </c>
      <c r="D128" t="s">
        <v>37</v>
      </c>
      <c r="E128" t="s">
        <v>55</v>
      </c>
      <c r="F128" t="s">
        <v>39</v>
      </c>
      <c r="G128" t="str">
        <f>"00795170158"</f>
        <v>00795170158</v>
      </c>
      <c r="I128" t="s">
        <v>60</v>
      </c>
      <c r="L128" t="s">
        <v>41</v>
      </c>
      <c r="M128">
        <v>5958</v>
      </c>
      <c r="AG128">
        <v>0</v>
      </c>
      <c r="AH128" s="1">
        <v>41331</v>
      </c>
      <c r="AI128" s="1">
        <v>41670</v>
      </c>
      <c r="AJ128" s="1">
        <v>41638</v>
      </c>
    </row>
    <row r="129" spans="1:36" ht="15">
      <c r="A129" t="str">
        <f>"4949371E24"</f>
        <v>4949371E24</v>
      </c>
      <c r="B129" t="str">
        <f t="shared" si="2"/>
        <v>02406911202</v>
      </c>
      <c r="C129" t="s">
        <v>13</v>
      </c>
      <c r="D129" t="s">
        <v>37</v>
      </c>
      <c r="E129" t="s">
        <v>55</v>
      </c>
      <c r="F129" t="s">
        <v>39</v>
      </c>
      <c r="G129" t="str">
        <f>"06171190967"</f>
        <v>06171190967</v>
      </c>
      <c r="I129" t="s">
        <v>71</v>
      </c>
      <c r="L129" t="s">
        <v>41</v>
      </c>
      <c r="M129">
        <v>18243</v>
      </c>
      <c r="AG129">
        <v>0</v>
      </c>
      <c r="AH129" s="1">
        <v>41331</v>
      </c>
      <c r="AI129" s="1">
        <v>41670</v>
      </c>
      <c r="AJ129" s="1">
        <v>41638</v>
      </c>
    </row>
    <row r="130" spans="1:36" ht="15">
      <c r="A130" t="str">
        <f>"494939846F"</f>
        <v>494939846F</v>
      </c>
      <c r="B130" t="str">
        <f aca="true" t="shared" si="5" ref="B130:B193">"02406911202"</f>
        <v>02406911202</v>
      </c>
      <c r="C130" t="s">
        <v>13</v>
      </c>
      <c r="D130" t="s">
        <v>37</v>
      </c>
      <c r="E130" t="s">
        <v>55</v>
      </c>
      <c r="F130" t="s">
        <v>39</v>
      </c>
      <c r="G130" t="str">
        <f>"11654150157"</f>
        <v>11654150157</v>
      </c>
      <c r="I130" t="s">
        <v>58</v>
      </c>
      <c r="L130" t="s">
        <v>41</v>
      </c>
      <c r="M130">
        <v>7433</v>
      </c>
      <c r="AG130">
        <v>30812.31</v>
      </c>
      <c r="AH130" s="1">
        <v>41331</v>
      </c>
      <c r="AI130" s="1">
        <v>41670</v>
      </c>
      <c r="AJ130" s="1">
        <v>41638</v>
      </c>
    </row>
    <row r="131" spans="1:36" ht="15">
      <c r="A131" t="str">
        <f aca="true" t="shared" si="6" ref="A131:A155">"495882797C"</f>
        <v>495882797C</v>
      </c>
      <c r="B131" t="str">
        <f t="shared" si="5"/>
        <v>02406911202</v>
      </c>
      <c r="C131" t="s">
        <v>13</v>
      </c>
      <c r="D131" t="s">
        <v>37</v>
      </c>
      <c r="E131" t="s">
        <v>181</v>
      </c>
      <c r="F131" t="s">
        <v>106</v>
      </c>
      <c r="G131" t="str">
        <f>"02284760366"</f>
        <v>02284760366</v>
      </c>
      <c r="I131" t="s">
        <v>182</v>
      </c>
      <c r="L131" t="s">
        <v>41</v>
      </c>
      <c r="M131">
        <v>108165</v>
      </c>
      <c r="AG131">
        <v>112030.61</v>
      </c>
      <c r="AH131" s="1">
        <v>41366</v>
      </c>
      <c r="AI131" s="1">
        <v>42826</v>
      </c>
      <c r="AJ131" s="1">
        <v>41638</v>
      </c>
    </row>
    <row r="132" spans="1:36" ht="15">
      <c r="A132" t="str">
        <f t="shared" si="6"/>
        <v>495882797C</v>
      </c>
      <c r="B132" t="str">
        <f t="shared" si="5"/>
        <v>02406911202</v>
      </c>
      <c r="C132" t="s">
        <v>13</v>
      </c>
      <c r="D132" t="s">
        <v>37</v>
      </c>
      <c r="E132" t="s">
        <v>181</v>
      </c>
      <c r="F132" t="s">
        <v>106</v>
      </c>
      <c r="G132" t="str">
        <f>"00495451205"</f>
        <v>00495451205</v>
      </c>
      <c r="I132" t="s">
        <v>183</v>
      </c>
      <c r="L132" t="s">
        <v>45</v>
      </c>
      <c r="AJ132" s="1">
        <v>41638</v>
      </c>
    </row>
    <row r="133" spans="1:36" ht="15">
      <c r="A133" t="str">
        <f t="shared" si="6"/>
        <v>495882797C</v>
      </c>
      <c r="B133" t="str">
        <f t="shared" si="5"/>
        <v>02406911202</v>
      </c>
      <c r="C133" t="s">
        <v>13</v>
      </c>
      <c r="D133" t="s">
        <v>37</v>
      </c>
      <c r="E133" t="s">
        <v>181</v>
      </c>
      <c r="F133" t="s">
        <v>106</v>
      </c>
      <c r="G133" t="str">
        <f>"02790240101"</f>
        <v>02790240101</v>
      </c>
      <c r="I133" t="s">
        <v>184</v>
      </c>
      <c r="L133" t="s">
        <v>45</v>
      </c>
      <c r="AJ133" s="1">
        <v>41638</v>
      </c>
    </row>
    <row r="134" spans="1:36" ht="15">
      <c r="A134" t="str">
        <f t="shared" si="6"/>
        <v>495882797C</v>
      </c>
      <c r="B134" t="str">
        <f t="shared" si="5"/>
        <v>02406911202</v>
      </c>
      <c r="C134" t="s">
        <v>13</v>
      </c>
      <c r="D134" t="s">
        <v>37</v>
      </c>
      <c r="E134" t="s">
        <v>181</v>
      </c>
      <c r="F134" t="s">
        <v>106</v>
      </c>
      <c r="G134" t="str">
        <f>"03277950287"</f>
        <v>03277950287</v>
      </c>
      <c r="I134" t="s">
        <v>185</v>
      </c>
      <c r="L134" t="s">
        <v>45</v>
      </c>
      <c r="AJ134" s="1">
        <v>41638</v>
      </c>
    </row>
    <row r="135" spans="1:36" ht="15">
      <c r="A135" t="str">
        <f t="shared" si="6"/>
        <v>495882797C</v>
      </c>
      <c r="B135" t="str">
        <f t="shared" si="5"/>
        <v>02406911202</v>
      </c>
      <c r="C135" t="s">
        <v>13</v>
      </c>
      <c r="D135" t="s">
        <v>37</v>
      </c>
      <c r="E135" t="s">
        <v>181</v>
      </c>
      <c r="F135" t="s">
        <v>106</v>
      </c>
      <c r="G135" t="str">
        <f>"08086280156"</f>
        <v>08086280156</v>
      </c>
      <c r="I135" t="s">
        <v>186</v>
      </c>
      <c r="L135" t="s">
        <v>45</v>
      </c>
      <c r="AJ135" s="1">
        <v>41638</v>
      </c>
    </row>
    <row r="136" spans="1:36" ht="15">
      <c r="A136" t="str">
        <f t="shared" si="6"/>
        <v>495882797C</v>
      </c>
      <c r="B136" t="str">
        <f t="shared" si="5"/>
        <v>02406911202</v>
      </c>
      <c r="C136" t="s">
        <v>13</v>
      </c>
      <c r="D136" t="s">
        <v>37</v>
      </c>
      <c r="E136" t="s">
        <v>181</v>
      </c>
      <c r="F136" t="s">
        <v>106</v>
      </c>
      <c r="G136" t="str">
        <f>"02518990284"</f>
        <v>02518990284</v>
      </c>
      <c r="I136" t="s">
        <v>187</v>
      </c>
      <c r="L136" t="s">
        <v>45</v>
      </c>
      <c r="AJ136" s="1">
        <v>41638</v>
      </c>
    </row>
    <row r="137" spans="1:36" ht="15">
      <c r="A137" t="str">
        <f t="shared" si="6"/>
        <v>495882797C</v>
      </c>
      <c r="B137" t="str">
        <f t="shared" si="5"/>
        <v>02406911202</v>
      </c>
      <c r="C137" t="s">
        <v>13</v>
      </c>
      <c r="D137" t="s">
        <v>37</v>
      </c>
      <c r="E137" t="s">
        <v>181</v>
      </c>
      <c r="F137" t="s">
        <v>106</v>
      </c>
      <c r="G137" t="str">
        <f>"00784230872"</f>
        <v>00784230872</v>
      </c>
      <c r="I137" t="s">
        <v>188</v>
      </c>
      <c r="L137" t="s">
        <v>45</v>
      </c>
      <c r="AJ137" s="1">
        <v>41638</v>
      </c>
    </row>
    <row r="138" spans="1:36" ht="15">
      <c r="A138" t="str">
        <f t="shared" si="6"/>
        <v>495882797C</v>
      </c>
      <c r="B138" t="str">
        <f t="shared" si="5"/>
        <v>02406911202</v>
      </c>
      <c r="C138" t="s">
        <v>13</v>
      </c>
      <c r="D138" t="s">
        <v>37</v>
      </c>
      <c r="E138" t="s">
        <v>181</v>
      </c>
      <c r="F138" t="s">
        <v>106</v>
      </c>
      <c r="G138" t="str">
        <f>"08641790152"</f>
        <v>08641790152</v>
      </c>
      <c r="I138" t="s">
        <v>114</v>
      </c>
      <c r="L138" t="s">
        <v>45</v>
      </c>
      <c r="AJ138" s="1">
        <v>41638</v>
      </c>
    </row>
    <row r="139" spans="1:36" ht="15">
      <c r="A139" t="str">
        <f t="shared" si="6"/>
        <v>495882797C</v>
      </c>
      <c r="B139" t="str">
        <f t="shared" si="5"/>
        <v>02406911202</v>
      </c>
      <c r="C139" t="s">
        <v>13</v>
      </c>
      <c r="D139" t="s">
        <v>37</v>
      </c>
      <c r="E139" t="s">
        <v>181</v>
      </c>
      <c r="F139" t="s">
        <v>106</v>
      </c>
      <c r="G139" t="str">
        <f>"06065650159"</f>
        <v>06065650159</v>
      </c>
      <c r="I139" t="s">
        <v>189</v>
      </c>
      <c r="L139" t="s">
        <v>45</v>
      </c>
      <c r="AJ139" s="1">
        <v>41638</v>
      </c>
    </row>
    <row r="140" spans="1:36" ht="15">
      <c r="A140" t="str">
        <f t="shared" si="6"/>
        <v>495882797C</v>
      </c>
      <c r="B140" t="str">
        <f t="shared" si="5"/>
        <v>02406911202</v>
      </c>
      <c r="C140" t="s">
        <v>13</v>
      </c>
      <c r="D140" t="s">
        <v>37</v>
      </c>
      <c r="E140" t="s">
        <v>181</v>
      </c>
      <c r="F140" t="s">
        <v>106</v>
      </c>
      <c r="G140" t="str">
        <f>"05886861003"</f>
        <v>05886861003</v>
      </c>
      <c r="I140" t="s">
        <v>190</v>
      </c>
      <c r="L140" t="s">
        <v>45</v>
      </c>
      <c r="AJ140" s="1">
        <v>41638</v>
      </c>
    </row>
    <row r="141" spans="1:36" ht="15">
      <c r="A141" t="str">
        <f t="shared" si="6"/>
        <v>495882797C</v>
      </c>
      <c r="B141" t="str">
        <f t="shared" si="5"/>
        <v>02406911202</v>
      </c>
      <c r="C141" t="s">
        <v>13</v>
      </c>
      <c r="D141" t="s">
        <v>37</v>
      </c>
      <c r="E141" t="s">
        <v>181</v>
      </c>
      <c r="F141" t="s">
        <v>106</v>
      </c>
      <c r="G141" t="str">
        <f>"01774010159"</f>
        <v>01774010159</v>
      </c>
      <c r="I141" t="s">
        <v>191</v>
      </c>
      <c r="L141" t="s">
        <v>45</v>
      </c>
      <c r="AJ141" s="1">
        <v>41638</v>
      </c>
    </row>
    <row r="142" spans="1:36" ht="15">
      <c r="A142" t="str">
        <f t="shared" si="6"/>
        <v>495882797C</v>
      </c>
      <c r="B142" t="str">
        <f t="shared" si="5"/>
        <v>02406911202</v>
      </c>
      <c r="C142" t="s">
        <v>13</v>
      </c>
      <c r="D142" t="s">
        <v>37</v>
      </c>
      <c r="E142" t="s">
        <v>181</v>
      </c>
      <c r="F142" t="s">
        <v>106</v>
      </c>
      <c r="G142" t="str">
        <f>"00047510326"</f>
        <v>00047510326</v>
      </c>
      <c r="I142" t="s">
        <v>192</v>
      </c>
      <c r="L142" t="s">
        <v>45</v>
      </c>
      <c r="AJ142" s="1">
        <v>41638</v>
      </c>
    </row>
    <row r="143" spans="1:36" ht="15">
      <c r="A143" t="str">
        <f t="shared" si="6"/>
        <v>495882797C</v>
      </c>
      <c r="B143" t="str">
        <f t="shared" si="5"/>
        <v>02406911202</v>
      </c>
      <c r="C143" t="s">
        <v>13</v>
      </c>
      <c r="D143" t="s">
        <v>37</v>
      </c>
      <c r="E143" t="s">
        <v>181</v>
      </c>
      <c r="F143" t="s">
        <v>106</v>
      </c>
      <c r="G143" t="str">
        <f>"01852100237"</f>
        <v>01852100237</v>
      </c>
      <c r="I143" t="s">
        <v>193</v>
      </c>
      <c r="L143" t="s">
        <v>45</v>
      </c>
      <c r="AJ143" s="1">
        <v>41638</v>
      </c>
    </row>
    <row r="144" spans="1:36" ht="15">
      <c r="A144" t="str">
        <f t="shared" si="6"/>
        <v>495882797C</v>
      </c>
      <c r="B144" t="str">
        <f t="shared" si="5"/>
        <v>02406911202</v>
      </c>
      <c r="C144" t="s">
        <v>13</v>
      </c>
      <c r="D144" t="s">
        <v>37</v>
      </c>
      <c r="E144" t="s">
        <v>181</v>
      </c>
      <c r="F144" t="s">
        <v>106</v>
      </c>
      <c r="G144" t="str">
        <f>"00227080231"</f>
        <v>00227080231</v>
      </c>
      <c r="I144" t="s">
        <v>74</v>
      </c>
      <c r="L144" t="s">
        <v>45</v>
      </c>
      <c r="AJ144" s="1">
        <v>41638</v>
      </c>
    </row>
    <row r="145" spans="1:36" ht="15">
      <c r="A145" t="str">
        <f t="shared" si="6"/>
        <v>495882797C</v>
      </c>
      <c r="B145" t="str">
        <f t="shared" si="5"/>
        <v>02406911202</v>
      </c>
      <c r="C145" t="s">
        <v>13</v>
      </c>
      <c r="D145" t="s">
        <v>37</v>
      </c>
      <c r="E145" t="s">
        <v>181</v>
      </c>
      <c r="F145" t="s">
        <v>106</v>
      </c>
      <c r="G145" t="str">
        <f>"02503550283"</f>
        <v>02503550283</v>
      </c>
      <c r="I145" t="s">
        <v>194</v>
      </c>
      <c r="L145" t="s">
        <v>45</v>
      </c>
      <c r="AJ145" s="1">
        <v>41638</v>
      </c>
    </row>
    <row r="146" spans="1:36" ht="15">
      <c r="A146" t="str">
        <f t="shared" si="6"/>
        <v>495882797C</v>
      </c>
      <c r="B146" t="str">
        <f t="shared" si="5"/>
        <v>02406911202</v>
      </c>
      <c r="C146" t="s">
        <v>13</v>
      </c>
      <c r="D146" t="s">
        <v>37</v>
      </c>
      <c r="E146" t="s">
        <v>181</v>
      </c>
      <c r="F146" t="s">
        <v>106</v>
      </c>
      <c r="G146" t="str">
        <f>"03237150234"</f>
        <v>03237150234</v>
      </c>
      <c r="I146" t="s">
        <v>195</v>
      </c>
      <c r="L146" t="s">
        <v>45</v>
      </c>
      <c r="AJ146" s="1">
        <v>41638</v>
      </c>
    </row>
    <row r="147" spans="1:36" ht="15">
      <c r="A147" t="str">
        <f t="shared" si="6"/>
        <v>495882797C</v>
      </c>
      <c r="B147" t="str">
        <f t="shared" si="5"/>
        <v>02406911202</v>
      </c>
      <c r="C147" t="s">
        <v>13</v>
      </c>
      <c r="D147" t="s">
        <v>37</v>
      </c>
      <c r="E147" t="s">
        <v>181</v>
      </c>
      <c r="F147" t="s">
        <v>106</v>
      </c>
      <c r="G147" t="str">
        <f>"01501420853"</f>
        <v>01501420853</v>
      </c>
      <c r="I147" t="s">
        <v>196</v>
      </c>
      <c r="L147" t="s">
        <v>45</v>
      </c>
      <c r="AJ147" s="1">
        <v>41638</v>
      </c>
    </row>
    <row r="148" spans="1:36" ht="15">
      <c r="A148" t="str">
        <f t="shared" si="6"/>
        <v>495882797C</v>
      </c>
      <c r="B148" t="str">
        <f t="shared" si="5"/>
        <v>02406911202</v>
      </c>
      <c r="C148" t="s">
        <v>13</v>
      </c>
      <c r="D148" t="s">
        <v>37</v>
      </c>
      <c r="E148" t="s">
        <v>181</v>
      </c>
      <c r="F148" t="s">
        <v>106</v>
      </c>
      <c r="G148" t="str">
        <f>"00939580080"</f>
        <v>00939580080</v>
      </c>
      <c r="I148" t="s">
        <v>197</v>
      </c>
      <c r="L148" t="s">
        <v>45</v>
      </c>
      <c r="AJ148" s="1">
        <v>41638</v>
      </c>
    </row>
    <row r="149" spans="1:36" ht="15">
      <c r="A149" t="str">
        <f t="shared" si="6"/>
        <v>495882797C</v>
      </c>
      <c r="B149" t="str">
        <f t="shared" si="5"/>
        <v>02406911202</v>
      </c>
      <c r="C149" t="s">
        <v>13</v>
      </c>
      <c r="D149" t="s">
        <v>37</v>
      </c>
      <c r="E149" t="s">
        <v>181</v>
      </c>
      <c r="F149" t="s">
        <v>106</v>
      </c>
      <c r="G149" t="str">
        <f>"01585920208"</f>
        <v>01585920208</v>
      </c>
      <c r="I149" t="s">
        <v>198</v>
      </c>
      <c r="L149" t="s">
        <v>45</v>
      </c>
      <c r="AJ149" s="1">
        <v>41638</v>
      </c>
    </row>
    <row r="150" spans="1:36" ht="15">
      <c r="A150" t="str">
        <f t="shared" si="6"/>
        <v>495882797C</v>
      </c>
      <c r="B150" t="str">
        <f t="shared" si="5"/>
        <v>02406911202</v>
      </c>
      <c r="C150" t="s">
        <v>13</v>
      </c>
      <c r="D150" t="s">
        <v>37</v>
      </c>
      <c r="E150" t="s">
        <v>181</v>
      </c>
      <c r="F150" t="s">
        <v>106</v>
      </c>
      <c r="G150" t="str">
        <f>"02401440157"</f>
        <v>02401440157</v>
      </c>
      <c r="I150" t="s">
        <v>199</v>
      </c>
      <c r="L150" t="s">
        <v>45</v>
      </c>
      <c r="AJ150" s="1">
        <v>41638</v>
      </c>
    </row>
    <row r="151" spans="1:36" ht="15">
      <c r="A151" t="str">
        <f t="shared" si="6"/>
        <v>495882797C</v>
      </c>
      <c r="B151" t="str">
        <f t="shared" si="5"/>
        <v>02406911202</v>
      </c>
      <c r="C151" t="s">
        <v>13</v>
      </c>
      <c r="D151" t="s">
        <v>37</v>
      </c>
      <c r="E151" t="s">
        <v>181</v>
      </c>
      <c r="F151" t="s">
        <v>106</v>
      </c>
      <c r="G151" t="str">
        <f>"01316780426"</f>
        <v>01316780426</v>
      </c>
      <c r="I151" t="s">
        <v>200</v>
      </c>
      <c r="L151" t="s">
        <v>45</v>
      </c>
      <c r="AJ151" s="1">
        <v>41638</v>
      </c>
    </row>
    <row r="152" spans="1:36" ht="15">
      <c r="A152" t="str">
        <f t="shared" si="6"/>
        <v>495882797C</v>
      </c>
      <c r="B152" t="str">
        <f t="shared" si="5"/>
        <v>02406911202</v>
      </c>
      <c r="C152" t="s">
        <v>13</v>
      </c>
      <c r="D152" t="s">
        <v>37</v>
      </c>
      <c r="E152" t="s">
        <v>181</v>
      </c>
      <c r="F152" t="s">
        <v>106</v>
      </c>
      <c r="G152" t="str">
        <f>"02154270595"</f>
        <v>02154270595</v>
      </c>
      <c r="I152" t="s">
        <v>143</v>
      </c>
      <c r="L152" t="s">
        <v>45</v>
      </c>
      <c r="AJ152" s="1">
        <v>41638</v>
      </c>
    </row>
    <row r="153" spans="1:36" ht="15">
      <c r="A153" t="str">
        <f t="shared" si="6"/>
        <v>495882797C</v>
      </c>
      <c r="B153" t="str">
        <f t="shared" si="5"/>
        <v>02406911202</v>
      </c>
      <c r="C153" t="s">
        <v>13</v>
      </c>
      <c r="D153" t="s">
        <v>37</v>
      </c>
      <c r="E153" t="s">
        <v>181</v>
      </c>
      <c r="F153" t="s">
        <v>106</v>
      </c>
      <c r="G153" t="str">
        <f>"03428610152"</f>
        <v>03428610152</v>
      </c>
      <c r="I153" t="s">
        <v>201</v>
      </c>
      <c r="L153" t="s">
        <v>45</v>
      </c>
      <c r="AJ153" s="1">
        <v>41638</v>
      </c>
    </row>
    <row r="154" spans="1:36" ht="15">
      <c r="A154" t="str">
        <f t="shared" si="6"/>
        <v>495882797C</v>
      </c>
      <c r="B154" t="str">
        <f t="shared" si="5"/>
        <v>02406911202</v>
      </c>
      <c r="C154" t="s">
        <v>13</v>
      </c>
      <c r="D154" t="s">
        <v>37</v>
      </c>
      <c r="E154" t="s">
        <v>181</v>
      </c>
      <c r="F154" t="s">
        <v>106</v>
      </c>
      <c r="G154" t="str">
        <f>"02975440369"</f>
        <v>02975440369</v>
      </c>
      <c r="I154" t="s">
        <v>202</v>
      </c>
      <c r="L154" t="s">
        <v>45</v>
      </c>
      <c r="AJ154" s="1">
        <v>41638</v>
      </c>
    </row>
    <row r="155" spans="1:36" ht="15">
      <c r="A155" t="str">
        <f t="shared" si="6"/>
        <v>495882797C</v>
      </c>
      <c r="B155" t="str">
        <f t="shared" si="5"/>
        <v>02406911202</v>
      </c>
      <c r="C155" t="s">
        <v>13</v>
      </c>
      <c r="D155" t="s">
        <v>37</v>
      </c>
      <c r="E155" t="s">
        <v>181</v>
      </c>
      <c r="F155" t="s">
        <v>106</v>
      </c>
      <c r="G155" t="str">
        <f>"02173550282"</f>
        <v>02173550282</v>
      </c>
      <c r="I155" t="s">
        <v>203</v>
      </c>
      <c r="L155" t="s">
        <v>45</v>
      </c>
      <c r="AJ155" s="1">
        <v>41638</v>
      </c>
    </row>
    <row r="156" spans="1:36" ht="15">
      <c r="A156" t="str">
        <f aca="true" t="shared" si="7" ref="A156:A180">"495899434E"</f>
        <v>495899434E</v>
      </c>
      <c r="B156" t="str">
        <f t="shared" si="5"/>
        <v>02406911202</v>
      </c>
      <c r="C156" t="s">
        <v>13</v>
      </c>
      <c r="D156" t="s">
        <v>37</v>
      </c>
      <c r="E156" t="s">
        <v>181</v>
      </c>
      <c r="F156" t="s">
        <v>106</v>
      </c>
      <c r="G156" t="str">
        <f>"02284760366"</f>
        <v>02284760366</v>
      </c>
      <c r="I156" t="s">
        <v>182</v>
      </c>
      <c r="L156" t="s">
        <v>45</v>
      </c>
      <c r="AJ156" s="1">
        <v>41638</v>
      </c>
    </row>
    <row r="157" spans="1:36" ht="15">
      <c r="A157" t="str">
        <f t="shared" si="7"/>
        <v>495899434E</v>
      </c>
      <c r="B157" t="str">
        <f t="shared" si="5"/>
        <v>02406911202</v>
      </c>
      <c r="C157" t="s">
        <v>13</v>
      </c>
      <c r="D157" t="s">
        <v>37</v>
      </c>
      <c r="E157" t="s">
        <v>181</v>
      </c>
      <c r="F157" t="s">
        <v>106</v>
      </c>
      <c r="G157" t="str">
        <f>"00495451205"</f>
        <v>00495451205</v>
      </c>
      <c r="I157" t="s">
        <v>183</v>
      </c>
      <c r="L157" t="s">
        <v>41</v>
      </c>
      <c r="M157">
        <v>43200</v>
      </c>
      <c r="AG157">
        <v>36233.14</v>
      </c>
      <c r="AH157" s="1">
        <v>41366</v>
      </c>
      <c r="AI157" s="1">
        <v>42826</v>
      </c>
      <c r="AJ157" s="1">
        <v>41638</v>
      </c>
    </row>
    <row r="158" spans="1:36" ht="15">
      <c r="A158" t="str">
        <f t="shared" si="7"/>
        <v>495899434E</v>
      </c>
      <c r="B158" t="str">
        <f t="shared" si="5"/>
        <v>02406911202</v>
      </c>
      <c r="C158" t="s">
        <v>13</v>
      </c>
      <c r="D158" t="s">
        <v>37</v>
      </c>
      <c r="E158" t="s">
        <v>181</v>
      </c>
      <c r="F158" t="s">
        <v>106</v>
      </c>
      <c r="G158" t="str">
        <f>"02790240101"</f>
        <v>02790240101</v>
      </c>
      <c r="I158" t="s">
        <v>184</v>
      </c>
      <c r="L158" t="s">
        <v>45</v>
      </c>
      <c r="AJ158" s="1">
        <v>41638</v>
      </c>
    </row>
    <row r="159" spans="1:36" ht="15">
      <c r="A159" t="str">
        <f t="shared" si="7"/>
        <v>495899434E</v>
      </c>
      <c r="B159" t="str">
        <f t="shared" si="5"/>
        <v>02406911202</v>
      </c>
      <c r="C159" t="s">
        <v>13</v>
      </c>
      <c r="D159" t="s">
        <v>37</v>
      </c>
      <c r="E159" t="s">
        <v>181</v>
      </c>
      <c r="F159" t="s">
        <v>106</v>
      </c>
      <c r="G159" t="str">
        <f>"03277950287"</f>
        <v>03277950287</v>
      </c>
      <c r="I159" t="s">
        <v>185</v>
      </c>
      <c r="L159" t="s">
        <v>45</v>
      </c>
      <c r="AJ159" s="1">
        <v>41638</v>
      </c>
    </row>
    <row r="160" spans="1:36" ht="15">
      <c r="A160" t="str">
        <f t="shared" si="7"/>
        <v>495899434E</v>
      </c>
      <c r="B160" t="str">
        <f t="shared" si="5"/>
        <v>02406911202</v>
      </c>
      <c r="C160" t="s">
        <v>13</v>
      </c>
      <c r="D160" t="s">
        <v>37</v>
      </c>
      <c r="E160" t="s">
        <v>181</v>
      </c>
      <c r="F160" t="s">
        <v>106</v>
      </c>
      <c r="G160" t="str">
        <f>"08086280156"</f>
        <v>08086280156</v>
      </c>
      <c r="I160" t="s">
        <v>186</v>
      </c>
      <c r="L160" t="s">
        <v>45</v>
      </c>
      <c r="AJ160" s="1">
        <v>41638</v>
      </c>
    </row>
    <row r="161" spans="1:36" ht="15">
      <c r="A161" t="str">
        <f t="shared" si="7"/>
        <v>495899434E</v>
      </c>
      <c r="B161" t="str">
        <f t="shared" si="5"/>
        <v>02406911202</v>
      </c>
      <c r="C161" t="s">
        <v>13</v>
      </c>
      <c r="D161" t="s">
        <v>37</v>
      </c>
      <c r="E161" t="s">
        <v>181</v>
      </c>
      <c r="F161" t="s">
        <v>106</v>
      </c>
      <c r="G161" t="str">
        <f>"02518990284"</f>
        <v>02518990284</v>
      </c>
      <c r="I161" t="s">
        <v>187</v>
      </c>
      <c r="L161" t="s">
        <v>45</v>
      </c>
      <c r="AJ161" s="1">
        <v>41638</v>
      </c>
    </row>
    <row r="162" spans="1:36" ht="15">
      <c r="A162" t="str">
        <f t="shared" si="7"/>
        <v>495899434E</v>
      </c>
      <c r="B162" t="str">
        <f t="shared" si="5"/>
        <v>02406911202</v>
      </c>
      <c r="C162" t="s">
        <v>13</v>
      </c>
      <c r="D162" t="s">
        <v>37</v>
      </c>
      <c r="E162" t="s">
        <v>181</v>
      </c>
      <c r="F162" t="s">
        <v>106</v>
      </c>
      <c r="G162" t="str">
        <f>"00784230872"</f>
        <v>00784230872</v>
      </c>
      <c r="I162" t="s">
        <v>188</v>
      </c>
      <c r="L162" t="s">
        <v>45</v>
      </c>
      <c r="AJ162" s="1">
        <v>41638</v>
      </c>
    </row>
    <row r="163" spans="1:36" ht="15">
      <c r="A163" t="str">
        <f t="shared" si="7"/>
        <v>495899434E</v>
      </c>
      <c r="B163" t="str">
        <f t="shared" si="5"/>
        <v>02406911202</v>
      </c>
      <c r="C163" t="s">
        <v>13</v>
      </c>
      <c r="D163" t="s">
        <v>37</v>
      </c>
      <c r="E163" t="s">
        <v>181</v>
      </c>
      <c r="F163" t="s">
        <v>106</v>
      </c>
      <c r="G163" t="str">
        <f>"08641790152"</f>
        <v>08641790152</v>
      </c>
      <c r="I163" t="s">
        <v>114</v>
      </c>
      <c r="L163" t="s">
        <v>45</v>
      </c>
      <c r="AJ163" s="1">
        <v>41638</v>
      </c>
    </row>
    <row r="164" spans="1:36" ht="15">
      <c r="A164" t="str">
        <f t="shared" si="7"/>
        <v>495899434E</v>
      </c>
      <c r="B164" t="str">
        <f t="shared" si="5"/>
        <v>02406911202</v>
      </c>
      <c r="C164" t="s">
        <v>13</v>
      </c>
      <c r="D164" t="s">
        <v>37</v>
      </c>
      <c r="E164" t="s">
        <v>181</v>
      </c>
      <c r="F164" t="s">
        <v>106</v>
      </c>
      <c r="G164" t="str">
        <f>"06065650159"</f>
        <v>06065650159</v>
      </c>
      <c r="I164" t="s">
        <v>189</v>
      </c>
      <c r="L164" t="s">
        <v>45</v>
      </c>
      <c r="AJ164" s="1">
        <v>41638</v>
      </c>
    </row>
    <row r="165" spans="1:36" ht="15">
      <c r="A165" t="str">
        <f t="shared" si="7"/>
        <v>495899434E</v>
      </c>
      <c r="B165" t="str">
        <f t="shared" si="5"/>
        <v>02406911202</v>
      </c>
      <c r="C165" t="s">
        <v>13</v>
      </c>
      <c r="D165" t="s">
        <v>37</v>
      </c>
      <c r="E165" t="s">
        <v>181</v>
      </c>
      <c r="F165" t="s">
        <v>106</v>
      </c>
      <c r="G165" t="str">
        <f>"05886861003"</f>
        <v>05886861003</v>
      </c>
      <c r="I165" t="s">
        <v>190</v>
      </c>
      <c r="L165" t="s">
        <v>45</v>
      </c>
      <c r="AJ165" s="1">
        <v>41638</v>
      </c>
    </row>
    <row r="166" spans="1:36" ht="15">
      <c r="A166" t="str">
        <f t="shared" si="7"/>
        <v>495899434E</v>
      </c>
      <c r="B166" t="str">
        <f t="shared" si="5"/>
        <v>02406911202</v>
      </c>
      <c r="C166" t="s">
        <v>13</v>
      </c>
      <c r="D166" t="s">
        <v>37</v>
      </c>
      <c r="E166" t="s">
        <v>181</v>
      </c>
      <c r="F166" t="s">
        <v>106</v>
      </c>
      <c r="G166" t="str">
        <f>"01774010159"</f>
        <v>01774010159</v>
      </c>
      <c r="I166" t="s">
        <v>191</v>
      </c>
      <c r="L166" t="s">
        <v>45</v>
      </c>
      <c r="AJ166" s="1">
        <v>41638</v>
      </c>
    </row>
    <row r="167" spans="1:36" ht="15">
      <c r="A167" t="str">
        <f t="shared" si="7"/>
        <v>495899434E</v>
      </c>
      <c r="B167" t="str">
        <f t="shared" si="5"/>
        <v>02406911202</v>
      </c>
      <c r="C167" t="s">
        <v>13</v>
      </c>
      <c r="D167" t="s">
        <v>37</v>
      </c>
      <c r="E167" t="s">
        <v>181</v>
      </c>
      <c r="F167" t="s">
        <v>106</v>
      </c>
      <c r="G167" t="str">
        <f>"00047510326"</f>
        <v>00047510326</v>
      </c>
      <c r="I167" t="s">
        <v>192</v>
      </c>
      <c r="L167" t="s">
        <v>45</v>
      </c>
      <c r="AJ167" s="1">
        <v>41638</v>
      </c>
    </row>
    <row r="168" spans="1:36" ht="15">
      <c r="A168" t="str">
        <f t="shared" si="7"/>
        <v>495899434E</v>
      </c>
      <c r="B168" t="str">
        <f t="shared" si="5"/>
        <v>02406911202</v>
      </c>
      <c r="C168" t="s">
        <v>13</v>
      </c>
      <c r="D168" t="s">
        <v>37</v>
      </c>
      <c r="E168" t="s">
        <v>181</v>
      </c>
      <c r="F168" t="s">
        <v>106</v>
      </c>
      <c r="G168" t="str">
        <f>"01852100237"</f>
        <v>01852100237</v>
      </c>
      <c r="I168" t="s">
        <v>193</v>
      </c>
      <c r="L168" t="s">
        <v>45</v>
      </c>
      <c r="AJ168" s="1">
        <v>41638</v>
      </c>
    </row>
    <row r="169" spans="1:36" ht="15">
      <c r="A169" t="str">
        <f t="shared" si="7"/>
        <v>495899434E</v>
      </c>
      <c r="B169" t="str">
        <f t="shared" si="5"/>
        <v>02406911202</v>
      </c>
      <c r="C169" t="s">
        <v>13</v>
      </c>
      <c r="D169" t="s">
        <v>37</v>
      </c>
      <c r="E169" t="s">
        <v>181</v>
      </c>
      <c r="F169" t="s">
        <v>106</v>
      </c>
      <c r="G169" t="str">
        <f>"00227080231"</f>
        <v>00227080231</v>
      </c>
      <c r="I169" t="s">
        <v>74</v>
      </c>
      <c r="L169" t="s">
        <v>45</v>
      </c>
      <c r="AJ169" s="1">
        <v>41638</v>
      </c>
    </row>
    <row r="170" spans="1:36" ht="15">
      <c r="A170" t="str">
        <f t="shared" si="7"/>
        <v>495899434E</v>
      </c>
      <c r="B170" t="str">
        <f t="shared" si="5"/>
        <v>02406911202</v>
      </c>
      <c r="C170" t="s">
        <v>13</v>
      </c>
      <c r="D170" t="s">
        <v>37</v>
      </c>
      <c r="E170" t="s">
        <v>181</v>
      </c>
      <c r="F170" t="s">
        <v>106</v>
      </c>
      <c r="G170" t="str">
        <f>"02503550283"</f>
        <v>02503550283</v>
      </c>
      <c r="I170" t="s">
        <v>194</v>
      </c>
      <c r="L170" t="s">
        <v>45</v>
      </c>
      <c r="AJ170" s="1">
        <v>41638</v>
      </c>
    </row>
    <row r="171" spans="1:36" ht="15">
      <c r="A171" t="str">
        <f t="shared" si="7"/>
        <v>495899434E</v>
      </c>
      <c r="B171" t="str">
        <f t="shared" si="5"/>
        <v>02406911202</v>
      </c>
      <c r="C171" t="s">
        <v>13</v>
      </c>
      <c r="D171" t="s">
        <v>37</v>
      </c>
      <c r="E171" t="s">
        <v>181</v>
      </c>
      <c r="F171" t="s">
        <v>106</v>
      </c>
      <c r="G171" t="str">
        <f>"03237150234"</f>
        <v>03237150234</v>
      </c>
      <c r="I171" t="s">
        <v>195</v>
      </c>
      <c r="L171" t="s">
        <v>45</v>
      </c>
      <c r="AJ171" s="1">
        <v>41638</v>
      </c>
    </row>
    <row r="172" spans="1:36" ht="15">
      <c r="A172" t="str">
        <f t="shared" si="7"/>
        <v>495899434E</v>
      </c>
      <c r="B172" t="str">
        <f t="shared" si="5"/>
        <v>02406911202</v>
      </c>
      <c r="C172" t="s">
        <v>13</v>
      </c>
      <c r="D172" t="s">
        <v>37</v>
      </c>
      <c r="E172" t="s">
        <v>181</v>
      </c>
      <c r="F172" t="s">
        <v>106</v>
      </c>
      <c r="G172" t="str">
        <f>"01501420853"</f>
        <v>01501420853</v>
      </c>
      <c r="I172" t="s">
        <v>196</v>
      </c>
      <c r="L172" t="s">
        <v>45</v>
      </c>
      <c r="AJ172" s="1">
        <v>41638</v>
      </c>
    </row>
    <row r="173" spans="1:36" ht="15">
      <c r="A173" t="str">
        <f t="shared" si="7"/>
        <v>495899434E</v>
      </c>
      <c r="B173" t="str">
        <f t="shared" si="5"/>
        <v>02406911202</v>
      </c>
      <c r="C173" t="s">
        <v>13</v>
      </c>
      <c r="D173" t="s">
        <v>37</v>
      </c>
      <c r="E173" t="s">
        <v>181</v>
      </c>
      <c r="F173" t="s">
        <v>106</v>
      </c>
      <c r="G173" t="str">
        <f>"00939580080"</f>
        <v>00939580080</v>
      </c>
      <c r="I173" t="s">
        <v>197</v>
      </c>
      <c r="L173" t="s">
        <v>45</v>
      </c>
      <c r="AJ173" s="1">
        <v>41638</v>
      </c>
    </row>
    <row r="174" spans="1:36" ht="15">
      <c r="A174" t="str">
        <f t="shared" si="7"/>
        <v>495899434E</v>
      </c>
      <c r="B174" t="str">
        <f t="shared" si="5"/>
        <v>02406911202</v>
      </c>
      <c r="C174" t="s">
        <v>13</v>
      </c>
      <c r="D174" t="s">
        <v>37</v>
      </c>
      <c r="E174" t="s">
        <v>181</v>
      </c>
      <c r="F174" t="s">
        <v>106</v>
      </c>
      <c r="G174" t="str">
        <f>"01585920208"</f>
        <v>01585920208</v>
      </c>
      <c r="I174" t="s">
        <v>198</v>
      </c>
      <c r="L174" t="s">
        <v>45</v>
      </c>
      <c r="AJ174" s="1">
        <v>41638</v>
      </c>
    </row>
    <row r="175" spans="1:36" ht="15">
      <c r="A175" t="str">
        <f t="shared" si="7"/>
        <v>495899434E</v>
      </c>
      <c r="B175" t="str">
        <f t="shared" si="5"/>
        <v>02406911202</v>
      </c>
      <c r="C175" t="s">
        <v>13</v>
      </c>
      <c r="D175" t="s">
        <v>37</v>
      </c>
      <c r="E175" t="s">
        <v>181</v>
      </c>
      <c r="F175" t="s">
        <v>106</v>
      </c>
      <c r="G175" t="str">
        <f>"02401440157"</f>
        <v>02401440157</v>
      </c>
      <c r="I175" t="s">
        <v>199</v>
      </c>
      <c r="L175" t="s">
        <v>45</v>
      </c>
      <c r="AJ175" s="1">
        <v>41638</v>
      </c>
    </row>
    <row r="176" spans="1:36" ht="15">
      <c r="A176" t="str">
        <f t="shared" si="7"/>
        <v>495899434E</v>
      </c>
      <c r="B176" t="str">
        <f t="shared" si="5"/>
        <v>02406911202</v>
      </c>
      <c r="C176" t="s">
        <v>13</v>
      </c>
      <c r="D176" t="s">
        <v>37</v>
      </c>
      <c r="E176" t="s">
        <v>181</v>
      </c>
      <c r="F176" t="s">
        <v>106</v>
      </c>
      <c r="G176" t="str">
        <f>"01316780426"</f>
        <v>01316780426</v>
      </c>
      <c r="I176" t="s">
        <v>200</v>
      </c>
      <c r="L176" t="s">
        <v>45</v>
      </c>
      <c r="AJ176" s="1">
        <v>41638</v>
      </c>
    </row>
    <row r="177" spans="1:36" ht="15">
      <c r="A177" t="str">
        <f t="shared" si="7"/>
        <v>495899434E</v>
      </c>
      <c r="B177" t="str">
        <f t="shared" si="5"/>
        <v>02406911202</v>
      </c>
      <c r="C177" t="s">
        <v>13</v>
      </c>
      <c r="D177" t="s">
        <v>37</v>
      </c>
      <c r="E177" t="s">
        <v>181</v>
      </c>
      <c r="F177" t="s">
        <v>106</v>
      </c>
      <c r="G177" t="str">
        <f>"02154270595"</f>
        <v>02154270595</v>
      </c>
      <c r="I177" t="s">
        <v>143</v>
      </c>
      <c r="L177" t="s">
        <v>45</v>
      </c>
      <c r="AJ177" s="1">
        <v>41638</v>
      </c>
    </row>
    <row r="178" spans="1:36" ht="15">
      <c r="A178" t="str">
        <f t="shared" si="7"/>
        <v>495899434E</v>
      </c>
      <c r="B178" t="str">
        <f t="shared" si="5"/>
        <v>02406911202</v>
      </c>
      <c r="C178" t="s">
        <v>13</v>
      </c>
      <c r="D178" t="s">
        <v>37</v>
      </c>
      <c r="E178" t="s">
        <v>181</v>
      </c>
      <c r="F178" t="s">
        <v>106</v>
      </c>
      <c r="G178" t="str">
        <f>"03428610152"</f>
        <v>03428610152</v>
      </c>
      <c r="I178" t="s">
        <v>201</v>
      </c>
      <c r="L178" t="s">
        <v>45</v>
      </c>
      <c r="AJ178" s="1">
        <v>41638</v>
      </c>
    </row>
    <row r="179" spans="1:36" ht="15">
      <c r="A179" t="str">
        <f t="shared" si="7"/>
        <v>495899434E</v>
      </c>
      <c r="B179" t="str">
        <f t="shared" si="5"/>
        <v>02406911202</v>
      </c>
      <c r="C179" t="s">
        <v>13</v>
      </c>
      <c r="D179" t="s">
        <v>37</v>
      </c>
      <c r="E179" t="s">
        <v>181</v>
      </c>
      <c r="F179" t="s">
        <v>106</v>
      </c>
      <c r="G179" t="str">
        <f>"02975440369"</f>
        <v>02975440369</v>
      </c>
      <c r="I179" t="s">
        <v>202</v>
      </c>
      <c r="L179" t="s">
        <v>45</v>
      </c>
      <c r="AJ179" s="1">
        <v>41638</v>
      </c>
    </row>
    <row r="180" spans="1:36" ht="15">
      <c r="A180" t="str">
        <f t="shared" si="7"/>
        <v>495899434E</v>
      </c>
      <c r="B180" t="str">
        <f t="shared" si="5"/>
        <v>02406911202</v>
      </c>
      <c r="C180" t="s">
        <v>13</v>
      </c>
      <c r="D180" t="s">
        <v>37</v>
      </c>
      <c r="E180" t="s">
        <v>181</v>
      </c>
      <c r="F180" t="s">
        <v>106</v>
      </c>
      <c r="G180" t="str">
        <f>"02173550282"</f>
        <v>02173550282</v>
      </c>
      <c r="I180" t="s">
        <v>203</v>
      </c>
      <c r="L180" t="s">
        <v>45</v>
      </c>
      <c r="AJ180" s="1">
        <v>41638</v>
      </c>
    </row>
    <row r="181" spans="1:36" ht="15">
      <c r="A181" t="str">
        <f aca="true" t="shared" si="8" ref="A181:A205">"4959022A67"</f>
        <v>4959022A67</v>
      </c>
      <c r="B181" t="str">
        <f t="shared" si="5"/>
        <v>02406911202</v>
      </c>
      <c r="C181" t="s">
        <v>13</v>
      </c>
      <c r="D181" t="s">
        <v>37</v>
      </c>
      <c r="E181" t="s">
        <v>181</v>
      </c>
      <c r="F181" t="s">
        <v>106</v>
      </c>
      <c r="G181" t="str">
        <f>"02284760366"</f>
        <v>02284760366</v>
      </c>
      <c r="I181" t="s">
        <v>182</v>
      </c>
      <c r="L181" t="s">
        <v>45</v>
      </c>
      <c r="AJ181" s="1">
        <v>41638</v>
      </c>
    </row>
    <row r="182" spans="1:36" ht="15">
      <c r="A182" t="str">
        <f t="shared" si="8"/>
        <v>4959022A67</v>
      </c>
      <c r="B182" t="str">
        <f t="shared" si="5"/>
        <v>02406911202</v>
      </c>
      <c r="C182" t="s">
        <v>13</v>
      </c>
      <c r="D182" t="s">
        <v>37</v>
      </c>
      <c r="E182" t="s">
        <v>181</v>
      </c>
      <c r="F182" t="s">
        <v>106</v>
      </c>
      <c r="G182" t="str">
        <f>"00495451205"</f>
        <v>00495451205</v>
      </c>
      <c r="I182" t="s">
        <v>183</v>
      </c>
      <c r="L182" t="s">
        <v>45</v>
      </c>
      <c r="AJ182" s="1">
        <v>41638</v>
      </c>
    </row>
    <row r="183" spans="1:36" ht="15">
      <c r="A183" t="str">
        <f t="shared" si="8"/>
        <v>4959022A67</v>
      </c>
      <c r="B183" t="str">
        <f t="shared" si="5"/>
        <v>02406911202</v>
      </c>
      <c r="C183" t="s">
        <v>13</v>
      </c>
      <c r="D183" t="s">
        <v>37</v>
      </c>
      <c r="E183" t="s">
        <v>181</v>
      </c>
      <c r="F183" t="s">
        <v>106</v>
      </c>
      <c r="G183" t="str">
        <f>"02790240101"</f>
        <v>02790240101</v>
      </c>
      <c r="I183" t="s">
        <v>184</v>
      </c>
      <c r="L183" t="s">
        <v>41</v>
      </c>
      <c r="M183">
        <v>459360</v>
      </c>
      <c r="AG183">
        <v>390380</v>
      </c>
      <c r="AH183" s="1">
        <v>41366</v>
      </c>
      <c r="AI183" s="1">
        <v>42826</v>
      </c>
      <c r="AJ183" s="1">
        <v>41638</v>
      </c>
    </row>
    <row r="184" spans="1:36" ht="15">
      <c r="A184" t="str">
        <f t="shared" si="8"/>
        <v>4959022A67</v>
      </c>
      <c r="B184" t="str">
        <f t="shared" si="5"/>
        <v>02406911202</v>
      </c>
      <c r="C184" t="s">
        <v>13</v>
      </c>
      <c r="D184" t="s">
        <v>37</v>
      </c>
      <c r="E184" t="s">
        <v>181</v>
      </c>
      <c r="F184" t="s">
        <v>106</v>
      </c>
      <c r="G184" t="str">
        <f>"03277950287"</f>
        <v>03277950287</v>
      </c>
      <c r="I184" t="s">
        <v>185</v>
      </c>
      <c r="L184" t="s">
        <v>45</v>
      </c>
      <c r="AJ184" s="1">
        <v>41638</v>
      </c>
    </row>
    <row r="185" spans="1:36" ht="15">
      <c r="A185" t="str">
        <f t="shared" si="8"/>
        <v>4959022A67</v>
      </c>
      <c r="B185" t="str">
        <f t="shared" si="5"/>
        <v>02406911202</v>
      </c>
      <c r="C185" t="s">
        <v>13</v>
      </c>
      <c r="D185" t="s">
        <v>37</v>
      </c>
      <c r="E185" t="s">
        <v>181</v>
      </c>
      <c r="F185" t="s">
        <v>106</v>
      </c>
      <c r="G185" t="str">
        <f>"08086280156"</f>
        <v>08086280156</v>
      </c>
      <c r="I185" t="s">
        <v>186</v>
      </c>
      <c r="L185" t="s">
        <v>45</v>
      </c>
      <c r="AJ185" s="1">
        <v>41638</v>
      </c>
    </row>
    <row r="186" spans="1:36" ht="15">
      <c r="A186" t="str">
        <f t="shared" si="8"/>
        <v>4959022A67</v>
      </c>
      <c r="B186" t="str">
        <f t="shared" si="5"/>
        <v>02406911202</v>
      </c>
      <c r="C186" t="s">
        <v>13</v>
      </c>
      <c r="D186" t="s">
        <v>37</v>
      </c>
      <c r="E186" t="s">
        <v>181</v>
      </c>
      <c r="F186" t="s">
        <v>106</v>
      </c>
      <c r="G186" t="str">
        <f>"02518990284"</f>
        <v>02518990284</v>
      </c>
      <c r="I186" t="s">
        <v>187</v>
      </c>
      <c r="L186" t="s">
        <v>45</v>
      </c>
      <c r="AJ186" s="1">
        <v>41638</v>
      </c>
    </row>
    <row r="187" spans="1:36" ht="15">
      <c r="A187" t="str">
        <f t="shared" si="8"/>
        <v>4959022A67</v>
      </c>
      <c r="B187" t="str">
        <f t="shared" si="5"/>
        <v>02406911202</v>
      </c>
      <c r="C187" t="s">
        <v>13</v>
      </c>
      <c r="D187" t="s">
        <v>37</v>
      </c>
      <c r="E187" t="s">
        <v>181</v>
      </c>
      <c r="F187" t="s">
        <v>106</v>
      </c>
      <c r="G187" t="str">
        <f>"00784230872"</f>
        <v>00784230872</v>
      </c>
      <c r="I187" t="s">
        <v>188</v>
      </c>
      <c r="L187" t="s">
        <v>45</v>
      </c>
      <c r="AJ187" s="1">
        <v>41638</v>
      </c>
    </row>
    <row r="188" spans="1:36" ht="15">
      <c r="A188" t="str">
        <f t="shared" si="8"/>
        <v>4959022A67</v>
      </c>
      <c r="B188" t="str">
        <f t="shared" si="5"/>
        <v>02406911202</v>
      </c>
      <c r="C188" t="s">
        <v>13</v>
      </c>
      <c r="D188" t="s">
        <v>37</v>
      </c>
      <c r="E188" t="s">
        <v>181</v>
      </c>
      <c r="F188" t="s">
        <v>106</v>
      </c>
      <c r="G188" t="str">
        <f>"08641790152"</f>
        <v>08641790152</v>
      </c>
      <c r="I188" t="s">
        <v>114</v>
      </c>
      <c r="L188" t="s">
        <v>45</v>
      </c>
      <c r="AJ188" s="1">
        <v>41638</v>
      </c>
    </row>
    <row r="189" spans="1:36" ht="15">
      <c r="A189" t="str">
        <f t="shared" si="8"/>
        <v>4959022A67</v>
      </c>
      <c r="B189" t="str">
        <f t="shared" si="5"/>
        <v>02406911202</v>
      </c>
      <c r="C189" t="s">
        <v>13</v>
      </c>
      <c r="D189" t="s">
        <v>37</v>
      </c>
      <c r="E189" t="s">
        <v>181</v>
      </c>
      <c r="F189" t="s">
        <v>106</v>
      </c>
      <c r="G189" t="str">
        <f>"06065650159"</f>
        <v>06065650159</v>
      </c>
      <c r="I189" t="s">
        <v>189</v>
      </c>
      <c r="L189" t="s">
        <v>45</v>
      </c>
      <c r="AJ189" s="1">
        <v>41638</v>
      </c>
    </row>
    <row r="190" spans="1:36" ht="15">
      <c r="A190" t="str">
        <f t="shared" si="8"/>
        <v>4959022A67</v>
      </c>
      <c r="B190" t="str">
        <f t="shared" si="5"/>
        <v>02406911202</v>
      </c>
      <c r="C190" t="s">
        <v>13</v>
      </c>
      <c r="D190" t="s">
        <v>37</v>
      </c>
      <c r="E190" t="s">
        <v>181</v>
      </c>
      <c r="F190" t="s">
        <v>106</v>
      </c>
      <c r="G190" t="str">
        <f>"05886861003"</f>
        <v>05886861003</v>
      </c>
      <c r="I190" t="s">
        <v>190</v>
      </c>
      <c r="L190" t="s">
        <v>45</v>
      </c>
      <c r="AJ190" s="1">
        <v>41638</v>
      </c>
    </row>
    <row r="191" spans="1:36" ht="15">
      <c r="A191" t="str">
        <f t="shared" si="8"/>
        <v>4959022A67</v>
      </c>
      <c r="B191" t="str">
        <f t="shared" si="5"/>
        <v>02406911202</v>
      </c>
      <c r="C191" t="s">
        <v>13</v>
      </c>
      <c r="D191" t="s">
        <v>37</v>
      </c>
      <c r="E191" t="s">
        <v>181</v>
      </c>
      <c r="F191" t="s">
        <v>106</v>
      </c>
      <c r="G191" t="str">
        <f>"01774010159"</f>
        <v>01774010159</v>
      </c>
      <c r="I191" t="s">
        <v>191</v>
      </c>
      <c r="L191" t="s">
        <v>45</v>
      </c>
      <c r="AJ191" s="1">
        <v>41638</v>
      </c>
    </row>
    <row r="192" spans="1:36" ht="15">
      <c r="A192" t="str">
        <f t="shared" si="8"/>
        <v>4959022A67</v>
      </c>
      <c r="B192" t="str">
        <f t="shared" si="5"/>
        <v>02406911202</v>
      </c>
      <c r="C192" t="s">
        <v>13</v>
      </c>
      <c r="D192" t="s">
        <v>37</v>
      </c>
      <c r="E192" t="s">
        <v>181</v>
      </c>
      <c r="F192" t="s">
        <v>106</v>
      </c>
      <c r="G192" t="str">
        <f>"00047510326"</f>
        <v>00047510326</v>
      </c>
      <c r="I192" t="s">
        <v>192</v>
      </c>
      <c r="L192" t="s">
        <v>45</v>
      </c>
      <c r="AJ192" s="1">
        <v>41638</v>
      </c>
    </row>
    <row r="193" spans="1:36" ht="15">
      <c r="A193" t="str">
        <f t="shared" si="8"/>
        <v>4959022A67</v>
      </c>
      <c r="B193" t="str">
        <f t="shared" si="5"/>
        <v>02406911202</v>
      </c>
      <c r="C193" t="s">
        <v>13</v>
      </c>
      <c r="D193" t="s">
        <v>37</v>
      </c>
      <c r="E193" t="s">
        <v>181</v>
      </c>
      <c r="F193" t="s">
        <v>106</v>
      </c>
      <c r="G193" t="str">
        <f>"01852100237"</f>
        <v>01852100237</v>
      </c>
      <c r="I193" t="s">
        <v>193</v>
      </c>
      <c r="L193" t="s">
        <v>45</v>
      </c>
      <c r="AJ193" s="1">
        <v>41638</v>
      </c>
    </row>
    <row r="194" spans="1:36" ht="15">
      <c r="A194" t="str">
        <f t="shared" si="8"/>
        <v>4959022A67</v>
      </c>
      <c r="B194" t="str">
        <f aca="true" t="shared" si="9" ref="B194:B257">"02406911202"</f>
        <v>02406911202</v>
      </c>
      <c r="C194" t="s">
        <v>13</v>
      </c>
      <c r="D194" t="s">
        <v>37</v>
      </c>
      <c r="E194" t="s">
        <v>181</v>
      </c>
      <c r="F194" t="s">
        <v>106</v>
      </c>
      <c r="G194" t="str">
        <f>"00227080231"</f>
        <v>00227080231</v>
      </c>
      <c r="I194" t="s">
        <v>74</v>
      </c>
      <c r="L194" t="s">
        <v>45</v>
      </c>
      <c r="AJ194" s="1">
        <v>41638</v>
      </c>
    </row>
    <row r="195" spans="1:36" ht="15">
      <c r="A195" t="str">
        <f t="shared" si="8"/>
        <v>4959022A67</v>
      </c>
      <c r="B195" t="str">
        <f t="shared" si="9"/>
        <v>02406911202</v>
      </c>
      <c r="C195" t="s">
        <v>13</v>
      </c>
      <c r="D195" t="s">
        <v>37</v>
      </c>
      <c r="E195" t="s">
        <v>181</v>
      </c>
      <c r="F195" t="s">
        <v>106</v>
      </c>
      <c r="G195" t="str">
        <f>"02503550283"</f>
        <v>02503550283</v>
      </c>
      <c r="I195" t="s">
        <v>194</v>
      </c>
      <c r="L195" t="s">
        <v>45</v>
      </c>
      <c r="AJ195" s="1">
        <v>41638</v>
      </c>
    </row>
    <row r="196" spans="1:36" ht="15">
      <c r="A196" t="str">
        <f t="shared" si="8"/>
        <v>4959022A67</v>
      </c>
      <c r="B196" t="str">
        <f t="shared" si="9"/>
        <v>02406911202</v>
      </c>
      <c r="C196" t="s">
        <v>13</v>
      </c>
      <c r="D196" t="s">
        <v>37</v>
      </c>
      <c r="E196" t="s">
        <v>181</v>
      </c>
      <c r="F196" t="s">
        <v>106</v>
      </c>
      <c r="G196" t="str">
        <f>"03237150234"</f>
        <v>03237150234</v>
      </c>
      <c r="I196" t="s">
        <v>195</v>
      </c>
      <c r="L196" t="s">
        <v>45</v>
      </c>
      <c r="AJ196" s="1">
        <v>41638</v>
      </c>
    </row>
    <row r="197" spans="1:36" ht="15">
      <c r="A197" t="str">
        <f t="shared" si="8"/>
        <v>4959022A67</v>
      </c>
      <c r="B197" t="str">
        <f t="shared" si="9"/>
        <v>02406911202</v>
      </c>
      <c r="C197" t="s">
        <v>13</v>
      </c>
      <c r="D197" t="s">
        <v>37</v>
      </c>
      <c r="E197" t="s">
        <v>181</v>
      </c>
      <c r="F197" t="s">
        <v>106</v>
      </c>
      <c r="G197" t="str">
        <f>"01501420853"</f>
        <v>01501420853</v>
      </c>
      <c r="I197" t="s">
        <v>196</v>
      </c>
      <c r="L197" t="s">
        <v>45</v>
      </c>
      <c r="AJ197" s="1">
        <v>41638</v>
      </c>
    </row>
    <row r="198" spans="1:36" ht="15">
      <c r="A198" t="str">
        <f t="shared" si="8"/>
        <v>4959022A67</v>
      </c>
      <c r="B198" t="str">
        <f t="shared" si="9"/>
        <v>02406911202</v>
      </c>
      <c r="C198" t="s">
        <v>13</v>
      </c>
      <c r="D198" t="s">
        <v>37</v>
      </c>
      <c r="E198" t="s">
        <v>181</v>
      </c>
      <c r="F198" t="s">
        <v>106</v>
      </c>
      <c r="G198" t="str">
        <f>"00939580080"</f>
        <v>00939580080</v>
      </c>
      <c r="I198" t="s">
        <v>197</v>
      </c>
      <c r="L198" t="s">
        <v>45</v>
      </c>
      <c r="AJ198" s="1">
        <v>41638</v>
      </c>
    </row>
    <row r="199" spans="1:36" ht="15">
      <c r="A199" t="str">
        <f t="shared" si="8"/>
        <v>4959022A67</v>
      </c>
      <c r="B199" t="str">
        <f t="shared" si="9"/>
        <v>02406911202</v>
      </c>
      <c r="C199" t="s">
        <v>13</v>
      </c>
      <c r="D199" t="s">
        <v>37</v>
      </c>
      <c r="E199" t="s">
        <v>181</v>
      </c>
      <c r="F199" t="s">
        <v>106</v>
      </c>
      <c r="G199" t="str">
        <f>"01585920208"</f>
        <v>01585920208</v>
      </c>
      <c r="I199" t="s">
        <v>198</v>
      </c>
      <c r="L199" t="s">
        <v>45</v>
      </c>
      <c r="AJ199" s="1">
        <v>41638</v>
      </c>
    </row>
    <row r="200" spans="1:36" ht="15">
      <c r="A200" t="str">
        <f t="shared" si="8"/>
        <v>4959022A67</v>
      </c>
      <c r="B200" t="str">
        <f t="shared" si="9"/>
        <v>02406911202</v>
      </c>
      <c r="C200" t="s">
        <v>13</v>
      </c>
      <c r="D200" t="s">
        <v>37</v>
      </c>
      <c r="E200" t="s">
        <v>181</v>
      </c>
      <c r="F200" t="s">
        <v>106</v>
      </c>
      <c r="G200" t="str">
        <f>"02401440157"</f>
        <v>02401440157</v>
      </c>
      <c r="I200" t="s">
        <v>199</v>
      </c>
      <c r="L200" t="s">
        <v>45</v>
      </c>
      <c r="AJ200" s="1">
        <v>41638</v>
      </c>
    </row>
    <row r="201" spans="1:36" ht="15">
      <c r="A201" t="str">
        <f t="shared" si="8"/>
        <v>4959022A67</v>
      </c>
      <c r="B201" t="str">
        <f t="shared" si="9"/>
        <v>02406911202</v>
      </c>
      <c r="C201" t="s">
        <v>13</v>
      </c>
      <c r="D201" t="s">
        <v>37</v>
      </c>
      <c r="E201" t="s">
        <v>181</v>
      </c>
      <c r="F201" t="s">
        <v>106</v>
      </c>
      <c r="G201" t="str">
        <f>"01316780426"</f>
        <v>01316780426</v>
      </c>
      <c r="I201" t="s">
        <v>200</v>
      </c>
      <c r="L201" t="s">
        <v>45</v>
      </c>
      <c r="AJ201" s="1">
        <v>41638</v>
      </c>
    </row>
    <row r="202" spans="1:36" ht="15">
      <c r="A202" t="str">
        <f t="shared" si="8"/>
        <v>4959022A67</v>
      </c>
      <c r="B202" t="str">
        <f t="shared" si="9"/>
        <v>02406911202</v>
      </c>
      <c r="C202" t="s">
        <v>13</v>
      </c>
      <c r="D202" t="s">
        <v>37</v>
      </c>
      <c r="E202" t="s">
        <v>181</v>
      </c>
      <c r="F202" t="s">
        <v>106</v>
      </c>
      <c r="G202" t="str">
        <f>"02154270595"</f>
        <v>02154270595</v>
      </c>
      <c r="I202" t="s">
        <v>143</v>
      </c>
      <c r="L202" t="s">
        <v>45</v>
      </c>
      <c r="AJ202" s="1">
        <v>41638</v>
      </c>
    </row>
    <row r="203" spans="1:36" ht="15">
      <c r="A203" t="str">
        <f t="shared" si="8"/>
        <v>4959022A67</v>
      </c>
      <c r="B203" t="str">
        <f t="shared" si="9"/>
        <v>02406911202</v>
      </c>
      <c r="C203" t="s">
        <v>13</v>
      </c>
      <c r="D203" t="s">
        <v>37</v>
      </c>
      <c r="E203" t="s">
        <v>181</v>
      </c>
      <c r="F203" t="s">
        <v>106</v>
      </c>
      <c r="G203" t="str">
        <f>"03428610152"</f>
        <v>03428610152</v>
      </c>
      <c r="I203" t="s">
        <v>201</v>
      </c>
      <c r="L203" t="s">
        <v>45</v>
      </c>
      <c r="AJ203" s="1">
        <v>41638</v>
      </c>
    </row>
    <row r="204" spans="1:36" ht="15">
      <c r="A204" t="str">
        <f t="shared" si="8"/>
        <v>4959022A67</v>
      </c>
      <c r="B204" t="str">
        <f t="shared" si="9"/>
        <v>02406911202</v>
      </c>
      <c r="C204" t="s">
        <v>13</v>
      </c>
      <c r="D204" t="s">
        <v>37</v>
      </c>
      <c r="E204" t="s">
        <v>181</v>
      </c>
      <c r="F204" t="s">
        <v>106</v>
      </c>
      <c r="G204" t="str">
        <f>"02975440369"</f>
        <v>02975440369</v>
      </c>
      <c r="I204" t="s">
        <v>202</v>
      </c>
      <c r="L204" t="s">
        <v>45</v>
      </c>
      <c r="AJ204" s="1">
        <v>41638</v>
      </c>
    </row>
    <row r="205" spans="1:36" ht="15">
      <c r="A205" t="str">
        <f t="shared" si="8"/>
        <v>4959022A67</v>
      </c>
      <c r="B205" t="str">
        <f t="shared" si="9"/>
        <v>02406911202</v>
      </c>
      <c r="C205" t="s">
        <v>13</v>
      </c>
      <c r="D205" t="s">
        <v>37</v>
      </c>
      <c r="E205" t="s">
        <v>181</v>
      </c>
      <c r="F205" t="s">
        <v>106</v>
      </c>
      <c r="G205" t="str">
        <f>"02173550282"</f>
        <v>02173550282</v>
      </c>
      <c r="I205" t="s">
        <v>203</v>
      </c>
      <c r="L205" t="s">
        <v>45</v>
      </c>
      <c r="AJ205" s="1">
        <v>41638</v>
      </c>
    </row>
    <row r="206" spans="1:36" ht="15">
      <c r="A206" t="str">
        <f aca="true" t="shared" si="10" ref="A206:A230">"4959070206"</f>
        <v>4959070206</v>
      </c>
      <c r="B206" t="str">
        <f t="shared" si="9"/>
        <v>02406911202</v>
      </c>
      <c r="C206" t="s">
        <v>13</v>
      </c>
      <c r="D206" t="s">
        <v>37</v>
      </c>
      <c r="E206" t="s">
        <v>181</v>
      </c>
      <c r="F206" t="s">
        <v>106</v>
      </c>
      <c r="G206" t="str">
        <f>"02284760366"</f>
        <v>02284760366</v>
      </c>
      <c r="I206" t="s">
        <v>182</v>
      </c>
      <c r="L206" t="s">
        <v>45</v>
      </c>
      <c r="AJ206" s="1">
        <v>41638</v>
      </c>
    </row>
    <row r="207" spans="1:36" ht="15">
      <c r="A207" t="str">
        <f t="shared" si="10"/>
        <v>4959070206</v>
      </c>
      <c r="B207" t="str">
        <f t="shared" si="9"/>
        <v>02406911202</v>
      </c>
      <c r="C207" t="s">
        <v>13</v>
      </c>
      <c r="D207" t="s">
        <v>37</v>
      </c>
      <c r="E207" t="s">
        <v>181</v>
      </c>
      <c r="F207" t="s">
        <v>106</v>
      </c>
      <c r="G207" t="str">
        <f>"00495451205"</f>
        <v>00495451205</v>
      </c>
      <c r="I207" t="s">
        <v>183</v>
      </c>
      <c r="L207" t="s">
        <v>45</v>
      </c>
      <c r="AJ207" s="1">
        <v>41638</v>
      </c>
    </row>
    <row r="208" spans="1:36" ht="15">
      <c r="A208" t="str">
        <f t="shared" si="10"/>
        <v>4959070206</v>
      </c>
      <c r="B208" t="str">
        <f t="shared" si="9"/>
        <v>02406911202</v>
      </c>
      <c r="C208" t="s">
        <v>13</v>
      </c>
      <c r="D208" t="s">
        <v>37</v>
      </c>
      <c r="E208" t="s">
        <v>181</v>
      </c>
      <c r="F208" t="s">
        <v>106</v>
      </c>
      <c r="G208" t="str">
        <f>"02790240101"</f>
        <v>02790240101</v>
      </c>
      <c r="I208" t="s">
        <v>184</v>
      </c>
      <c r="L208" t="s">
        <v>45</v>
      </c>
      <c r="AJ208" s="1">
        <v>41638</v>
      </c>
    </row>
    <row r="209" spans="1:36" ht="15">
      <c r="A209" t="str">
        <f t="shared" si="10"/>
        <v>4959070206</v>
      </c>
      <c r="B209" t="str">
        <f t="shared" si="9"/>
        <v>02406911202</v>
      </c>
      <c r="C209" t="s">
        <v>13</v>
      </c>
      <c r="D209" t="s">
        <v>37</v>
      </c>
      <c r="E209" t="s">
        <v>181</v>
      </c>
      <c r="F209" t="s">
        <v>106</v>
      </c>
      <c r="G209" t="str">
        <f>"03277950287"</f>
        <v>03277950287</v>
      </c>
      <c r="I209" t="s">
        <v>185</v>
      </c>
      <c r="L209" t="s">
        <v>45</v>
      </c>
      <c r="AJ209" s="1">
        <v>41638</v>
      </c>
    </row>
    <row r="210" spans="1:36" ht="15">
      <c r="A210" t="str">
        <f t="shared" si="10"/>
        <v>4959070206</v>
      </c>
      <c r="B210" t="str">
        <f t="shared" si="9"/>
        <v>02406911202</v>
      </c>
      <c r="C210" t="s">
        <v>13</v>
      </c>
      <c r="D210" t="s">
        <v>37</v>
      </c>
      <c r="E210" t="s">
        <v>181</v>
      </c>
      <c r="F210" t="s">
        <v>106</v>
      </c>
      <c r="G210" t="str">
        <f>"08086280156"</f>
        <v>08086280156</v>
      </c>
      <c r="I210" t="s">
        <v>186</v>
      </c>
      <c r="L210" t="s">
        <v>45</v>
      </c>
      <c r="AJ210" s="1">
        <v>41638</v>
      </c>
    </row>
    <row r="211" spans="1:36" ht="15">
      <c r="A211" t="str">
        <f t="shared" si="10"/>
        <v>4959070206</v>
      </c>
      <c r="B211" t="str">
        <f t="shared" si="9"/>
        <v>02406911202</v>
      </c>
      <c r="C211" t="s">
        <v>13</v>
      </c>
      <c r="D211" t="s">
        <v>37</v>
      </c>
      <c r="E211" t="s">
        <v>181</v>
      </c>
      <c r="F211" t="s">
        <v>106</v>
      </c>
      <c r="G211" t="str">
        <f>"02518990284"</f>
        <v>02518990284</v>
      </c>
      <c r="I211" t="s">
        <v>187</v>
      </c>
      <c r="L211" t="s">
        <v>45</v>
      </c>
      <c r="AJ211" s="1">
        <v>41638</v>
      </c>
    </row>
    <row r="212" spans="1:36" ht="15">
      <c r="A212" t="str">
        <f t="shared" si="10"/>
        <v>4959070206</v>
      </c>
      <c r="B212" t="str">
        <f t="shared" si="9"/>
        <v>02406911202</v>
      </c>
      <c r="C212" t="s">
        <v>13</v>
      </c>
      <c r="D212" t="s">
        <v>37</v>
      </c>
      <c r="E212" t="s">
        <v>181</v>
      </c>
      <c r="F212" t="s">
        <v>106</v>
      </c>
      <c r="G212" t="str">
        <f>"00784230872"</f>
        <v>00784230872</v>
      </c>
      <c r="I212" t="s">
        <v>188</v>
      </c>
      <c r="L212" t="s">
        <v>45</v>
      </c>
      <c r="AJ212" s="1">
        <v>41638</v>
      </c>
    </row>
    <row r="213" spans="1:36" ht="15">
      <c r="A213" t="str">
        <f t="shared" si="10"/>
        <v>4959070206</v>
      </c>
      <c r="B213" t="str">
        <f t="shared" si="9"/>
        <v>02406911202</v>
      </c>
      <c r="C213" t="s">
        <v>13</v>
      </c>
      <c r="D213" t="s">
        <v>37</v>
      </c>
      <c r="E213" t="s">
        <v>181</v>
      </c>
      <c r="F213" t="s">
        <v>106</v>
      </c>
      <c r="G213" t="str">
        <f>"08641790152"</f>
        <v>08641790152</v>
      </c>
      <c r="I213" t="s">
        <v>114</v>
      </c>
      <c r="L213" t="s">
        <v>45</v>
      </c>
      <c r="AJ213" s="1">
        <v>41638</v>
      </c>
    </row>
    <row r="214" spans="1:36" ht="15">
      <c r="A214" t="str">
        <f t="shared" si="10"/>
        <v>4959070206</v>
      </c>
      <c r="B214" t="str">
        <f t="shared" si="9"/>
        <v>02406911202</v>
      </c>
      <c r="C214" t="s">
        <v>13</v>
      </c>
      <c r="D214" t="s">
        <v>37</v>
      </c>
      <c r="E214" t="s">
        <v>181</v>
      </c>
      <c r="F214" t="s">
        <v>106</v>
      </c>
      <c r="G214" t="str">
        <f>"06065650159"</f>
        <v>06065650159</v>
      </c>
      <c r="I214" t="s">
        <v>189</v>
      </c>
      <c r="L214" t="s">
        <v>45</v>
      </c>
      <c r="AJ214" s="1">
        <v>41638</v>
      </c>
    </row>
    <row r="215" spans="1:36" ht="15">
      <c r="A215" t="str">
        <f t="shared" si="10"/>
        <v>4959070206</v>
      </c>
      <c r="B215" t="str">
        <f t="shared" si="9"/>
        <v>02406911202</v>
      </c>
      <c r="C215" t="s">
        <v>13</v>
      </c>
      <c r="D215" t="s">
        <v>37</v>
      </c>
      <c r="E215" t="s">
        <v>181</v>
      </c>
      <c r="F215" t="s">
        <v>106</v>
      </c>
      <c r="G215" t="str">
        <f>"05886861003"</f>
        <v>05886861003</v>
      </c>
      <c r="I215" t="s">
        <v>190</v>
      </c>
      <c r="L215" t="s">
        <v>45</v>
      </c>
      <c r="AJ215" s="1">
        <v>41638</v>
      </c>
    </row>
    <row r="216" spans="1:36" ht="15">
      <c r="A216" t="str">
        <f t="shared" si="10"/>
        <v>4959070206</v>
      </c>
      <c r="B216" t="str">
        <f t="shared" si="9"/>
        <v>02406911202</v>
      </c>
      <c r="C216" t="s">
        <v>13</v>
      </c>
      <c r="D216" t="s">
        <v>37</v>
      </c>
      <c r="E216" t="s">
        <v>181</v>
      </c>
      <c r="F216" t="s">
        <v>106</v>
      </c>
      <c r="G216" t="str">
        <f>"01774010159"</f>
        <v>01774010159</v>
      </c>
      <c r="I216" t="s">
        <v>191</v>
      </c>
      <c r="L216" t="s">
        <v>41</v>
      </c>
      <c r="M216">
        <v>128</v>
      </c>
      <c r="AG216">
        <v>0</v>
      </c>
      <c r="AH216" s="1">
        <v>41366</v>
      </c>
      <c r="AI216" s="1">
        <v>42826</v>
      </c>
      <c r="AJ216" s="1">
        <v>41638</v>
      </c>
    </row>
    <row r="217" spans="1:36" ht="15">
      <c r="A217" t="str">
        <f t="shared" si="10"/>
        <v>4959070206</v>
      </c>
      <c r="B217" t="str">
        <f t="shared" si="9"/>
        <v>02406911202</v>
      </c>
      <c r="C217" t="s">
        <v>13</v>
      </c>
      <c r="D217" t="s">
        <v>37</v>
      </c>
      <c r="E217" t="s">
        <v>181</v>
      </c>
      <c r="F217" t="s">
        <v>106</v>
      </c>
      <c r="G217" t="str">
        <f>"00047510326"</f>
        <v>00047510326</v>
      </c>
      <c r="I217" t="s">
        <v>192</v>
      </c>
      <c r="L217" t="s">
        <v>45</v>
      </c>
      <c r="AJ217" s="1">
        <v>41638</v>
      </c>
    </row>
    <row r="218" spans="1:36" ht="15">
      <c r="A218" t="str">
        <f t="shared" si="10"/>
        <v>4959070206</v>
      </c>
      <c r="B218" t="str">
        <f t="shared" si="9"/>
        <v>02406911202</v>
      </c>
      <c r="C218" t="s">
        <v>13</v>
      </c>
      <c r="D218" t="s">
        <v>37</v>
      </c>
      <c r="E218" t="s">
        <v>181</v>
      </c>
      <c r="F218" t="s">
        <v>106</v>
      </c>
      <c r="G218" t="str">
        <f>"01852100237"</f>
        <v>01852100237</v>
      </c>
      <c r="I218" t="s">
        <v>193</v>
      </c>
      <c r="L218" t="s">
        <v>45</v>
      </c>
      <c r="AJ218" s="1">
        <v>41638</v>
      </c>
    </row>
    <row r="219" spans="1:36" ht="15">
      <c r="A219" t="str">
        <f t="shared" si="10"/>
        <v>4959070206</v>
      </c>
      <c r="B219" t="str">
        <f t="shared" si="9"/>
        <v>02406911202</v>
      </c>
      <c r="C219" t="s">
        <v>13</v>
      </c>
      <c r="D219" t="s">
        <v>37</v>
      </c>
      <c r="E219" t="s">
        <v>181</v>
      </c>
      <c r="F219" t="s">
        <v>106</v>
      </c>
      <c r="G219" t="str">
        <f>"00227080231"</f>
        <v>00227080231</v>
      </c>
      <c r="I219" t="s">
        <v>74</v>
      </c>
      <c r="L219" t="s">
        <v>45</v>
      </c>
      <c r="AJ219" s="1">
        <v>41638</v>
      </c>
    </row>
    <row r="220" spans="1:36" ht="15">
      <c r="A220" t="str">
        <f t="shared" si="10"/>
        <v>4959070206</v>
      </c>
      <c r="B220" t="str">
        <f t="shared" si="9"/>
        <v>02406911202</v>
      </c>
      <c r="C220" t="s">
        <v>13</v>
      </c>
      <c r="D220" t="s">
        <v>37</v>
      </c>
      <c r="E220" t="s">
        <v>181</v>
      </c>
      <c r="F220" t="s">
        <v>106</v>
      </c>
      <c r="G220" t="str">
        <f>"02503550283"</f>
        <v>02503550283</v>
      </c>
      <c r="I220" t="s">
        <v>194</v>
      </c>
      <c r="L220" t="s">
        <v>45</v>
      </c>
      <c r="AJ220" s="1">
        <v>41638</v>
      </c>
    </row>
    <row r="221" spans="1:36" ht="15">
      <c r="A221" t="str">
        <f t="shared" si="10"/>
        <v>4959070206</v>
      </c>
      <c r="B221" t="str">
        <f t="shared" si="9"/>
        <v>02406911202</v>
      </c>
      <c r="C221" t="s">
        <v>13</v>
      </c>
      <c r="D221" t="s">
        <v>37</v>
      </c>
      <c r="E221" t="s">
        <v>181</v>
      </c>
      <c r="F221" t="s">
        <v>106</v>
      </c>
      <c r="G221" t="str">
        <f>"03237150234"</f>
        <v>03237150234</v>
      </c>
      <c r="I221" t="s">
        <v>195</v>
      </c>
      <c r="L221" t="s">
        <v>45</v>
      </c>
      <c r="AJ221" s="1">
        <v>41638</v>
      </c>
    </row>
    <row r="222" spans="1:36" ht="15">
      <c r="A222" t="str">
        <f t="shared" si="10"/>
        <v>4959070206</v>
      </c>
      <c r="B222" t="str">
        <f t="shared" si="9"/>
        <v>02406911202</v>
      </c>
      <c r="C222" t="s">
        <v>13</v>
      </c>
      <c r="D222" t="s">
        <v>37</v>
      </c>
      <c r="E222" t="s">
        <v>181</v>
      </c>
      <c r="F222" t="s">
        <v>106</v>
      </c>
      <c r="G222" t="str">
        <f>"01501420853"</f>
        <v>01501420853</v>
      </c>
      <c r="I222" t="s">
        <v>196</v>
      </c>
      <c r="L222" t="s">
        <v>45</v>
      </c>
      <c r="AJ222" s="1">
        <v>41638</v>
      </c>
    </row>
    <row r="223" spans="1:36" ht="15">
      <c r="A223" t="str">
        <f t="shared" si="10"/>
        <v>4959070206</v>
      </c>
      <c r="B223" t="str">
        <f t="shared" si="9"/>
        <v>02406911202</v>
      </c>
      <c r="C223" t="s">
        <v>13</v>
      </c>
      <c r="D223" t="s">
        <v>37</v>
      </c>
      <c r="E223" t="s">
        <v>181</v>
      </c>
      <c r="F223" t="s">
        <v>106</v>
      </c>
      <c r="G223" t="str">
        <f>"00939580080"</f>
        <v>00939580080</v>
      </c>
      <c r="I223" t="s">
        <v>197</v>
      </c>
      <c r="L223" t="s">
        <v>45</v>
      </c>
      <c r="AJ223" s="1">
        <v>41638</v>
      </c>
    </row>
    <row r="224" spans="1:36" ht="15">
      <c r="A224" t="str">
        <f t="shared" si="10"/>
        <v>4959070206</v>
      </c>
      <c r="B224" t="str">
        <f t="shared" si="9"/>
        <v>02406911202</v>
      </c>
      <c r="C224" t="s">
        <v>13</v>
      </c>
      <c r="D224" t="s">
        <v>37</v>
      </c>
      <c r="E224" t="s">
        <v>181</v>
      </c>
      <c r="F224" t="s">
        <v>106</v>
      </c>
      <c r="G224" t="str">
        <f>"01585920208"</f>
        <v>01585920208</v>
      </c>
      <c r="I224" t="s">
        <v>198</v>
      </c>
      <c r="L224" t="s">
        <v>45</v>
      </c>
      <c r="AJ224" s="1">
        <v>41638</v>
      </c>
    </row>
    <row r="225" spans="1:36" ht="15">
      <c r="A225" t="str">
        <f t="shared" si="10"/>
        <v>4959070206</v>
      </c>
      <c r="B225" t="str">
        <f t="shared" si="9"/>
        <v>02406911202</v>
      </c>
      <c r="C225" t="s">
        <v>13</v>
      </c>
      <c r="D225" t="s">
        <v>37</v>
      </c>
      <c r="E225" t="s">
        <v>181</v>
      </c>
      <c r="F225" t="s">
        <v>106</v>
      </c>
      <c r="G225" t="str">
        <f>"02401440157"</f>
        <v>02401440157</v>
      </c>
      <c r="I225" t="s">
        <v>199</v>
      </c>
      <c r="L225" t="s">
        <v>45</v>
      </c>
      <c r="AJ225" s="1">
        <v>41638</v>
      </c>
    </row>
    <row r="226" spans="1:36" ht="15">
      <c r="A226" t="str">
        <f t="shared" si="10"/>
        <v>4959070206</v>
      </c>
      <c r="B226" t="str">
        <f t="shared" si="9"/>
        <v>02406911202</v>
      </c>
      <c r="C226" t="s">
        <v>13</v>
      </c>
      <c r="D226" t="s">
        <v>37</v>
      </c>
      <c r="E226" t="s">
        <v>181</v>
      </c>
      <c r="F226" t="s">
        <v>106</v>
      </c>
      <c r="G226" t="str">
        <f>"01316780426"</f>
        <v>01316780426</v>
      </c>
      <c r="I226" t="s">
        <v>200</v>
      </c>
      <c r="L226" t="s">
        <v>45</v>
      </c>
      <c r="AJ226" s="1">
        <v>41638</v>
      </c>
    </row>
    <row r="227" spans="1:36" ht="15">
      <c r="A227" t="str">
        <f t="shared" si="10"/>
        <v>4959070206</v>
      </c>
      <c r="B227" t="str">
        <f t="shared" si="9"/>
        <v>02406911202</v>
      </c>
      <c r="C227" t="s">
        <v>13</v>
      </c>
      <c r="D227" t="s">
        <v>37</v>
      </c>
      <c r="E227" t="s">
        <v>181</v>
      </c>
      <c r="F227" t="s">
        <v>106</v>
      </c>
      <c r="G227" t="str">
        <f>"02154270595"</f>
        <v>02154270595</v>
      </c>
      <c r="I227" t="s">
        <v>143</v>
      </c>
      <c r="L227" t="s">
        <v>45</v>
      </c>
      <c r="AJ227" s="1">
        <v>41638</v>
      </c>
    </row>
    <row r="228" spans="1:36" ht="15">
      <c r="A228" t="str">
        <f t="shared" si="10"/>
        <v>4959070206</v>
      </c>
      <c r="B228" t="str">
        <f t="shared" si="9"/>
        <v>02406911202</v>
      </c>
      <c r="C228" t="s">
        <v>13</v>
      </c>
      <c r="D228" t="s">
        <v>37</v>
      </c>
      <c r="E228" t="s">
        <v>181</v>
      </c>
      <c r="F228" t="s">
        <v>106</v>
      </c>
      <c r="G228" t="str">
        <f>"03428610152"</f>
        <v>03428610152</v>
      </c>
      <c r="I228" t="s">
        <v>201</v>
      </c>
      <c r="L228" t="s">
        <v>45</v>
      </c>
      <c r="AJ228" s="1">
        <v>41638</v>
      </c>
    </row>
    <row r="229" spans="1:36" ht="15">
      <c r="A229" t="str">
        <f t="shared" si="10"/>
        <v>4959070206</v>
      </c>
      <c r="B229" t="str">
        <f t="shared" si="9"/>
        <v>02406911202</v>
      </c>
      <c r="C229" t="s">
        <v>13</v>
      </c>
      <c r="D229" t="s">
        <v>37</v>
      </c>
      <c r="E229" t="s">
        <v>181</v>
      </c>
      <c r="F229" t="s">
        <v>106</v>
      </c>
      <c r="G229" t="str">
        <f>"02975440369"</f>
        <v>02975440369</v>
      </c>
      <c r="I229" t="s">
        <v>202</v>
      </c>
      <c r="L229" t="s">
        <v>45</v>
      </c>
      <c r="AJ229" s="1">
        <v>41638</v>
      </c>
    </row>
    <row r="230" spans="1:36" ht="15">
      <c r="A230" t="str">
        <f t="shared" si="10"/>
        <v>4959070206</v>
      </c>
      <c r="B230" t="str">
        <f t="shared" si="9"/>
        <v>02406911202</v>
      </c>
      <c r="C230" t="s">
        <v>13</v>
      </c>
      <c r="D230" t="s">
        <v>37</v>
      </c>
      <c r="E230" t="s">
        <v>181</v>
      </c>
      <c r="F230" t="s">
        <v>106</v>
      </c>
      <c r="G230" t="str">
        <f>"02173550282"</f>
        <v>02173550282</v>
      </c>
      <c r="I230" t="s">
        <v>203</v>
      </c>
      <c r="L230" t="s">
        <v>45</v>
      </c>
      <c r="AJ230" s="1">
        <v>41638</v>
      </c>
    </row>
    <row r="231" spans="1:36" ht="15">
      <c r="A231" t="str">
        <f aca="true" t="shared" si="11" ref="A231:A255">"495909242D"</f>
        <v>495909242D</v>
      </c>
      <c r="B231" t="str">
        <f t="shared" si="9"/>
        <v>02406911202</v>
      </c>
      <c r="C231" t="s">
        <v>13</v>
      </c>
      <c r="D231" t="s">
        <v>37</v>
      </c>
      <c r="E231" t="s">
        <v>181</v>
      </c>
      <c r="F231" t="s">
        <v>106</v>
      </c>
      <c r="G231" t="str">
        <f>"02284760366"</f>
        <v>02284760366</v>
      </c>
      <c r="I231" t="s">
        <v>182</v>
      </c>
      <c r="L231" t="s">
        <v>45</v>
      </c>
      <c r="AJ231" s="1">
        <v>41638</v>
      </c>
    </row>
    <row r="232" spans="1:36" ht="15">
      <c r="A232" t="str">
        <f t="shared" si="11"/>
        <v>495909242D</v>
      </c>
      <c r="B232" t="str">
        <f t="shared" si="9"/>
        <v>02406911202</v>
      </c>
      <c r="C232" t="s">
        <v>13</v>
      </c>
      <c r="D232" t="s">
        <v>37</v>
      </c>
      <c r="E232" t="s">
        <v>181</v>
      </c>
      <c r="F232" t="s">
        <v>106</v>
      </c>
      <c r="G232" t="str">
        <f>"00495451205"</f>
        <v>00495451205</v>
      </c>
      <c r="I232" t="s">
        <v>183</v>
      </c>
      <c r="L232" t="s">
        <v>45</v>
      </c>
      <c r="AJ232" s="1">
        <v>41638</v>
      </c>
    </row>
    <row r="233" spans="1:36" ht="15">
      <c r="A233" t="str">
        <f t="shared" si="11"/>
        <v>495909242D</v>
      </c>
      <c r="B233" t="str">
        <f t="shared" si="9"/>
        <v>02406911202</v>
      </c>
      <c r="C233" t="s">
        <v>13</v>
      </c>
      <c r="D233" t="s">
        <v>37</v>
      </c>
      <c r="E233" t="s">
        <v>181</v>
      </c>
      <c r="F233" t="s">
        <v>106</v>
      </c>
      <c r="G233" t="str">
        <f>"02790240101"</f>
        <v>02790240101</v>
      </c>
      <c r="I233" t="s">
        <v>184</v>
      </c>
      <c r="L233" t="s">
        <v>45</v>
      </c>
      <c r="AJ233" s="1">
        <v>41638</v>
      </c>
    </row>
    <row r="234" spans="1:36" ht="15">
      <c r="A234" t="str">
        <f t="shared" si="11"/>
        <v>495909242D</v>
      </c>
      <c r="B234" t="str">
        <f t="shared" si="9"/>
        <v>02406911202</v>
      </c>
      <c r="C234" t="s">
        <v>13</v>
      </c>
      <c r="D234" t="s">
        <v>37</v>
      </c>
      <c r="E234" t="s">
        <v>181</v>
      </c>
      <c r="F234" t="s">
        <v>106</v>
      </c>
      <c r="G234" t="str">
        <f>"03277950287"</f>
        <v>03277950287</v>
      </c>
      <c r="I234" t="s">
        <v>185</v>
      </c>
      <c r="L234" t="s">
        <v>45</v>
      </c>
      <c r="AJ234" s="1">
        <v>41638</v>
      </c>
    </row>
    <row r="235" spans="1:36" ht="15">
      <c r="A235" t="str">
        <f t="shared" si="11"/>
        <v>495909242D</v>
      </c>
      <c r="B235" t="str">
        <f t="shared" si="9"/>
        <v>02406911202</v>
      </c>
      <c r="C235" t="s">
        <v>13</v>
      </c>
      <c r="D235" t="s">
        <v>37</v>
      </c>
      <c r="E235" t="s">
        <v>181</v>
      </c>
      <c r="F235" t="s">
        <v>106</v>
      </c>
      <c r="G235" t="str">
        <f>"08086280156"</f>
        <v>08086280156</v>
      </c>
      <c r="I235" t="s">
        <v>186</v>
      </c>
      <c r="L235" t="s">
        <v>45</v>
      </c>
      <c r="AJ235" s="1">
        <v>41638</v>
      </c>
    </row>
    <row r="236" spans="1:36" ht="15">
      <c r="A236" t="str">
        <f t="shared" si="11"/>
        <v>495909242D</v>
      </c>
      <c r="B236" t="str">
        <f t="shared" si="9"/>
        <v>02406911202</v>
      </c>
      <c r="C236" t="s">
        <v>13</v>
      </c>
      <c r="D236" t="s">
        <v>37</v>
      </c>
      <c r="E236" t="s">
        <v>181</v>
      </c>
      <c r="F236" t="s">
        <v>106</v>
      </c>
      <c r="G236" t="str">
        <f>"02518990284"</f>
        <v>02518990284</v>
      </c>
      <c r="I236" t="s">
        <v>187</v>
      </c>
      <c r="L236" t="s">
        <v>45</v>
      </c>
      <c r="AJ236" s="1">
        <v>41638</v>
      </c>
    </row>
    <row r="237" spans="1:36" ht="15">
      <c r="A237" t="str">
        <f t="shared" si="11"/>
        <v>495909242D</v>
      </c>
      <c r="B237" t="str">
        <f t="shared" si="9"/>
        <v>02406911202</v>
      </c>
      <c r="C237" t="s">
        <v>13</v>
      </c>
      <c r="D237" t="s">
        <v>37</v>
      </c>
      <c r="E237" t="s">
        <v>181</v>
      </c>
      <c r="F237" t="s">
        <v>106</v>
      </c>
      <c r="G237" t="str">
        <f>"00784230872"</f>
        <v>00784230872</v>
      </c>
      <c r="I237" t="s">
        <v>188</v>
      </c>
      <c r="L237" t="s">
        <v>45</v>
      </c>
      <c r="AJ237" s="1">
        <v>41638</v>
      </c>
    </row>
    <row r="238" spans="1:36" ht="15">
      <c r="A238" t="str">
        <f t="shared" si="11"/>
        <v>495909242D</v>
      </c>
      <c r="B238" t="str">
        <f t="shared" si="9"/>
        <v>02406911202</v>
      </c>
      <c r="C238" t="s">
        <v>13</v>
      </c>
      <c r="D238" t="s">
        <v>37</v>
      </c>
      <c r="E238" t="s">
        <v>181</v>
      </c>
      <c r="F238" t="s">
        <v>106</v>
      </c>
      <c r="G238" t="str">
        <f>"08641790152"</f>
        <v>08641790152</v>
      </c>
      <c r="I238" t="s">
        <v>114</v>
      </c>
      <c r="L238" t="s">
        <v>45</v>
      </c>
      <c r="AJ238" s="1">
        <v>41638</v>
      </c>
    </row>
    <row r="239" spans="1:36" ht="15">
      <c r="A239" t="str">
        <f t="shared" si="11"/>
        <v>495909242D</v>
      </c>
      <c r="B239" t="str">
        <f t="shared" si="9"/>
        <v>02406911202</v>
      </c>
      <c r="C239" t="s">
        <v>13</v>
      </c>
      <c r="D239" t="s">
        <v>37</v>
      </c>
      <c r="E239" t="s">
        <v>181</v>
      </c>
      <c r="F239" t="s">
        <v>106</v>
      </c>
      <c r="G239" t="str">
        <f>"06065650159"</f>
        <v>06065650159</v>
      </c>
      <c r="I239" t="s">
        <v>189</v>
      </c>
      <c r="L239" t="s">
        <v>45</v>
      </c>
      <c r="AJ239" s="1">
        <v>41638</v>
      </c>
    </row>
    <row r="240" spans="1:36" ht="15">
      <c r="A240" t="str">
        <f t="shared" si="11"/>
        <v>495909242D</v>
      </c>
      <c r="B240" t="str">
        <f t="shared" si="9"/>
        <v>02406911202</v>
      </c>
      <c r="C240" t="s">
        <v>13</v>
      </c>
      <c r="D240" t="s">
        <v>37</v>
      </c>
      <c r="E240" t="s">
        <v>181</v>
      </c>
      <c r="F240" t="s">
        <v>106</v>
      </c>
      <c r="G240" t="str">
        <f>"05886861003"</f>
        <v>05886861003</v>
      </c>
      <c r="I240" t="s">
        <v>190</v>
      </c>
      <c r="L240" t="s">
        <v>45</v>
      </c>
      <c r="AJ240" s="1">
        <v>41638</v>
      </c>
    </row>
    <row r="241" spans="1:36" ht="15">
      <c r="A241" t="str">
        <f t="shared" si="11"/>
        <v>495909242D</v>
      </c>
      <c r="B241" t="str">
        <f t="shared" si="9"/>
        <v>02406911202</v>
      </c>
      <c r="C241" t="s">
        <v>13</v>
      </c>
      <c r="D241" t="s">
        <v>37</v>
      </c>
      <c r="E241" t="s">
        <v>181</v>
      </c>
      <c r="F241" t="s">
        <v>106</v>
      </c>
      <c r="G241" t="str">
        <f>"01774010159"</f>
        <v>01774010159</v>
      </c>
      <c r="I241" t="s">
        <v>191</v>
      </c>
      <c r="L241" t="s">
        <v>45</v>
      </c>
      <c r="AJ241" s="1">
        <v>41638</v>
      </c>
    </row>
    <row r="242" spans="1:36" ht="15">
      <c r="A242" t="str">
        <f t="shared" si="11"/>
        <v>495909242D</v>
      </c>
      <c r="B242" t="str">
        <f t="shared" si="9"/>
        <v>02406911202</v>
      </c>
      <c r="C242" t="s">
        <v>13</v>
      </c>
      <c r="D242" t="s">
        <v>37</v>
      </c>
      <c r="E242" t="s">
        <v>181</v>
      </c>
      <c r="F242" t="s">
        <v>106</v>
      </c>
      <c r="G242" t="str">
        <f>"00047510326"</f>
        <v>00047510326</v>
      </c>
      <c r="I242" t="s">
        <v>192</v>
      </c>
      <c r="L242" t="s">
        <v>41</v>
      </c>
      <c r="M242">
        <v>334160</v>
      </c>
      <c r="AG242">
        <v>351802</v>
      </c>
      <c r="AH242" s="1">
        <v>41366</v>
      </c>
      <c r="AI242" s="1">
        <v>42826</v>
      </c>
      <c r="AJ242" s="1">
        <v>41638</v>
      </c>
    </row>
    <row r="243" spans="1:36" ht="15">
      <c r="A243" t="str">
        <f t="shared" si="11"/>
        <v>495909242D</v>
      </c>
      <c r="B243" t="str">
        <f t="shared" si="9"/>
        <v>02406911202</v>
      </c>
      <c r="C243" t="s">
        <v>13</v>
      </c>
      <c r="D243" t="s">
        <v>37</v>
      </c>
      <c r="E243" t="s">
        <v>181</v>
      </c>
      <c r="F243" t="s">
        <v>106</v>
      </c>
      <c r="G243" t="str">
        <f>"01852100237"</f>
        <v>01852100237</v>
      </c>
      <c r="I243" t="s">
        <v>193</v>
      </c>
      <c r="L243" t="s">
        <v>45</v>
      </c>
      <c r="AJ243" s="1">
        <v>41638</v>
      </c>
    </row>
    <row r="244" spans="1:36" ht="15">
      <c r="A244" t="str">
        <f t="shared" si="11"/>
        <v>495909242D</v>
      </c>
      <c r="B244" t="str">
        <f t="shared" si="9"/>
        <v>02406911202</v>
      </c>
      <c r="C244" t="s">
        <v>13</v>
      </c>
      <c r="D244" t="s">
        <v>37</v>
      </c>
      <c r="E244" t="s">
        <v>181</v>
      </c>
      <c r="F244" t="s">
        <v>106</v>
      </c>
      <c r="G244" t="str">
        <f>"00227080231"</f>
        <v>00227080231</v>
      </c>
      <c r="I244" t="s">
        <v>74</v>
      </c>
      <c r="L244" t="s">
        <v>45</v>
      </c>
      <c r="AJ244" s="1">
        <v>41638</v>
      </c>
    </row>
    <row r="245" spans="1:36" ht="15">
      <c r="A245" t="str">
        <f t="shared" si="11"/>
        <v>495909242D</v>
      </c>
      <c r="B245" t="str">
        <f t="shared" si="9"/>
        <v>02406911202</v>
      </c>
      <c r="C245" t="s">
        <v>13</v>
      </c>
      <c r="D245" t="s">
        <v>37</v>
      </c>
      <c r="E245" t="s">
        <v>181</v>
      </c>
      <c r="F245" t="s">
        <v>106</v>
      </c>
      <c r="G245" t="str">
        <f>"02503550283"</f>
        <v>02503550283</v>
      </c>
      <c r="I245" t="s">
        <v>194</v>
      </c>
      <c r="L245" t="s">
        <v>45</v>
      </c>
      <c r="AJ245" s="1">
        <v>41638</v>
      </c>
    </row>
    <row r="246" spans="1:36" ht="15">
      <c r="A246" t="str">
        <f t="shared" si="11"/>
        <v>495909242D</v>
      </c>
      <c r="B246" t="str">
        <f t="shared" si="9"/>
        <v>02406911202</v>
      </c>
      <c r="C246" t="s">
        <v>13</v>
      </c>
      <c r="D246" t="s">
        <v>37</v>
      </c>
      <c r="E246" t="s">
        <v>181</v>
      </c>
      <c r="F246" t="s">
        <v>106</v>
      </c>
      <c r="G246" t="str">
        <f>"03237150234"</f>
        <v>03237150234</v>
      </c>
      <c r="I246" t="s">
        <v>195</v>
      </c>
      <c r="L246" t="s">
        <v>45</v>
      </c>
      <c r="AJ246" s="1">
        <v>41638</v>
      </c>
    </row>
    <row r="247" spans="1:36" ht="15">
      <c r="A247" t="str">
        <f t="shared" si="11"/>
        <v>495909242D</v>
      </c>
      <c r="B247" t="str">
        <f t="shared" si="9"/>
        <v>02406911202</v>
      </c>
      <c r="C247" t="s">
        <v>13</v>
      </c>
      <c r="D247" t="s">
        <v>37</v>
      </c>
      <c r="E247" t="s">
        <v>181</v>
      </c>
      <c r="F247" t="s">
        <v>106</v>
      </c>
      <c r="G247" t="str">
        <f>"01501420853"</f>
        <v>01501420853</v>
      </c>
      <c r="I247" t="s">
        <v>196</v>
      </c>
      <c r="L247" t="s">
        <v>45</v>
      </c>
      <c r="AJ247" s="1">
        <v>41638</v>
      </c>
    </row>
    <row r="248" spans="1:36" ht="15">
      <c r="A248" t="str">
        <f t="shared" si="11"/>
        <v>495909242D</v>
      </c>
      <c r="B248" t="str">
        <f t="shared" si="9"/>
        <v>02406911202</v>
      </c>
      <c r="C248" t="s">
        <v>13</v>
      </c>
      <c r="D248" t="s">
        <v>37</v>
      </c>
      <c r="E248" t="s">
        <v>181</v>
      </c>
      <c r="F248" t="s">
        <v>106</v>
      </c>
      <c r="G248" t="str">
        <f>"00939580080"</f>
        <v>00939580080</v>
      </c>
      <c r="I248" t="s">
        <v>197</v>
      </c>
      <c r="L248" t="s">
        <v>45</v>
      </c>
      <c r="AJ248" s="1">
        <v>41638</v>
      </c>
    </row>
    <row r="249" spans="1:36" ht="15">
      <c r="A249" t="str">
        <f t="shared" si="11"/>
        <v>495909242D</v>
      </c>
      <c r="B249" t="str">
        <f t="shared" si="9"/>
        <v>02406911202</v>
      </c>
      <c r="C249" t="s">
        <v>13</v>
      </c>
      <c r="D249" t="s">
        <v>37</v>
      </c>
      <c r="E249" t="s">
        <v>181</v>
      </c>
      <c r="F249" t="s">
        <v>106</v>
      </c>
      <c r="G249" t="str">
        <f>"01585920208"</f>
        <v>01585920208</v>
      </c>
      <c r="I249" t="s">
        <v>198</v>
      </c>
      <c r="L249" t="s">
        <v>45</v>
      </c>
      <c r="AJ249" s="1">
        <v>41638</v>
      </c>
    </row>
    <row r="250" spans="1:36" ht="15">
      <c r="A250" t="str">
        <f t="shared" si="11"/>
        <v>495909242D</v>
      </c>
      <c r="B250" t="str">
        <f t="shared" si="9"/>
        <v>02406911202</v>
      </c>
      <c r="C250" t="s">
        <v>13</v>
      </c>
      <c r="D250" t="s">
        <v>37</v>
      </c>
      <c r="E250" t="s">
        <v>181</v>
      </c>
      <c r="F250" t="s">
        <v>106</v>
      </c>
      <c r="G250" t="str">
        <f>"02401440157"</f>
        <v>02401440157</v>
      </c>
      <c r="I250" t="s">
        <v>199</v>
      </c>
      <c r="L250" t="s">
        <v>45</v>
      </c>
      <c r="AJ250" s="1">
        <v>41638</v>
      </c>
    </row>
    <row r="251" spans="1:36" ht="15">
      <c r="A251" t="str">
        <f t="shared" si="11"/>
        <v>495909242D</v>
      </c>
      <c r="B251" t="str">
        <f t="shared" si="9"/>
        <v>02406911202</v>
      </c>
      <c r="C251" t="s">
        <v>13</v>
      </c>
      <c r="D251" t="s">
        <v>37</v>
      </c>
      <c r="E251" t="s">
        <v>181</v>
      </c>
      <c r="F251" t="s">
        <v>106</v>
      </c>
      <c r="G251" t="str">
        <f>"01316780426"</f>
        <v>01316780426</v>
      </c>
      <c r="I251" t="s">
        <v>200</v>
      </c>
      <c r="L251" t="s">
        <v>45</v>
      </c>
      <c r="AJ251" s="1">
        <v>41638</v>
      </c>
    </row>
    <row r="252" spans="1:36" ht="15">
      <c r="A252" t="str">
        <f t="shared" si="11"/>
        <v>495909242D</v>
      </c>
      <c r="B252" t="str">
        <f t="shared" si="9"/>
        <v>02406911202</v>
      </c>
      <c r="C252" t="s">
        <v>13</v>
      </c>
      <c r="D252" t="s">
        <v>37</v>
      </c>
      <c r="E252" t="s">
        <v>181</v>
      </c>
      <c r="F252" t="s">
        <v>106</v>
      </c>
      <c r="G252" t="str">
        <f>"02154270595"</f>
        <v>02154270595</v>
      </c>
      <c r="I252" t="s">
        <v>143</v>
      </c>
      <c r="L252" t="s">
        <v>45</v>
      </c>
      <c r="AJ252" s="1">
        <v>41638</v>
      </c>
    </row>
    <row r="253" spans="1:36" ht="15">
      <c r="A253" t="str">
        <f t="shared" si="11"/>
        <v>495909242D</v>
      </c>
      <c r="B253" t="str">
        <f t="shared" si="9"/>
        <v>02406911202</v>
      </c>
      <c r="C253" t="s">
        <v>13</v>
      </c>
      <c r="D253" t="s">
        <v>37</v>
      </c>
      <c r="E253" t="s">
        <v>181</v>
      </c>
      <c r="F253" t="s">
        <v>106</v>
      </c>
      <c r="G253" t="str">
        <f>"03428610152"</f>
        <v>03428610152</v>
      </c>
      <c r="I253" t="s">
        <v>201</v>
      </c>
      <c r="L253" t="s">
        <v>45</v>
      </c>
      <c r="AJ253" s="1">
        <v>41638</v>
      </c>
    </row>
    <row r="254" spans="1:36" ht="15">
      <c r="A254" t="str">
        <f t="shared" si="11"/>
        <v>495909242D</v>
      </c>
      <c r="B254" t="str">
        <f t="shared" si="9"/>
        <v>02406911202</v>
      </c>
      <c r="C254" t="s">
        <v>13</v>
      </c>
      <c r="D254" t="s">
        <v>37</v>
      </c>
      <c r="E254" t="s">
        <v>181</v>
      </c>
      <c r="F254" t="s">
        <v>106</v>
      </c>
      <c r="G254" t="str">
        <f>"02975440369"</f>
        <v>02975440369</v>
      </c>
      <c r="I254" t="s">
        <v>202</v>
      </c>
      <c r="L254" t="s">
        <v>45</v>
      </c>
      <c r="AJ254" s="1">
        <v>41638</v>
      </c>
    </row>
    <row r="255" spans="1:36" ht="15">
      <c r="A255" t="str">
        <f t="shared" si="11"/>
        <v>495909242D</v>
      </c>
      <c r="B255" t="str">
        <f t="shared" si="9"/>
        <v>02406911202</v>
      </c>
      <c r="C255" t="s">
        <v>13</v>
      </c>
      <c r="D255" t="s">
        <v>37</v>
      </c>
      <c r="E255" t="s">
        <v>181</v>
      </c>
      <c r="F255" t="s">
        <v>106</v>
      </c>
      <c r="G255" t="str">
        <f>"02173550282"</f>
        <v>02173550282</v>
      </c>
      <c r="I255" t="s">
        <v>203</v>
      </c>
      <c r="L255" t="s">
        <v>45</v>
      </c>
      <c r="AJ255" s="1">
        <v>41638</v>
      </c>
    </row>
    <row r="256" spans="1:36" ht="15">
      <c r="A256" t="str">
        <f aca="true" t="shared" si="12" ref="A256:A280">"49591460BE"</f>
        <v>49591460BE</v>
      </c>
      <c r="B256" t="str">
        <f t="shared" si="9"/>
        <v>02406911202</v>
      </c>
      <c r="C256" t="s">
        <v>13</v>
      </c>
      <c r="D256" t="s">
        <v>37</v>
      </c>
      <c r="E256" t="s">
        <v>181</v>
      </c>
      <c r="F256" t="s">
        <v>106</v>
      </c>
      <c r="G256" t="str">
        <f>"02284760366"</f>
        <v>02284760366</v>
      </c>
      <c r="I256" t="s">
        <v>182</v>
      </c>
      <c r="L256" t="s">
        <v>45</v>
      </c>
      <c r="AJ256" s="1">
        <v>41638</v>
      </c>
    </row>
    <row r="257" spans="1:36" ht="15">
      <c r="A257" t="str">
        <f t="shared" si="12"/>
        <v>49591460BE</v>
      </c>
      <c r="B257" t="str">
        <f t="shared" si="9"/>
        <v>02406911202</v>
      </c>
      <c r="C257" t="s">
        <v>13</v>
      </c>
      <c r="D257" t="s">
        <v>37</v>
      </c>
      <c r="E257" t="s">
        <v>181</v>
      </c>
      <c r="F257" t="s">
        <v>106</v>
      </c>
      <c r="G257" t="str">
        <f>"00495451205"</f>
        <v>00495451205</v>
      </c>
      <c r="I257" t="s">
        <v>183</v>
      </c>
      <c r="L257" t="s">
        <v>45</v>
      </c>
      <c r="AJ257" s="1">
        <v>41638</v>
      </c>
    </row>
    <row r="258" spans="1:36" ht="15">
      <c r="A258" t="str">
        <f t="shared" si="12"/>
        <v>49591460BE</v>
      </c>
      <c r="B258" t="str">
        <f aca="true" t="shared" si="13" ref="B258:B321">"02406911202"</f>
        <v>02406911202</v>
      </c>
      <c r="C258" t="s">
        <v>13</v>
      </c>
      <c r="D258" t="s">
        <v>37</v>
      </c>
      <c r="E258" t="s">
        <v>181</v>
      </c>
      <c r="F258" t="s">
        <v>106</v>
      </c>
      <c r="G258" t="str">
        <f>"02790240101"</f>
        <v>02790240101</v>
      </c>
      <c r="I258" t="s">
        <v>184</v>
      </c>
      <c r="L258" t="s">
        <v>45</v>
      </c>
      <c r="AJ258" s="1">
        <v>41638</v>
      </c>
    </row>
    <row r="259" spans="1:36" ht="15">
      <c r="A259" t="str">
        <f t="shared" si="12"/>
        <v>49591460BE</v>
      </c>
      <c r="B259" t="str">
        <f t="shared" si="13"/>
        <v>02406911202</v>
      </c>
      <c r="C259" t="s">
        <v>13</v>
      </c>
      <c r="D259" t="s">
        <v>37</v>
      </c>
      <c r="E259" t="s">
        <v>181</v>
      </c>
      <c r="F259" t="s">
        <v>106</v>
      </c>
      <c r="G259" t="str">
        <f>"03277950287"</f>
        <v>03277950287</v>
      </c>
      <c r="I259" t="s">
        <v>185</v>
      </c>
      <c r="L259" t="s">
        <v>45</v>
      </c>
      <c r="AJ259" s="1">
        <v>41638</v>
      </c>
    </row>
    <row r="260" spans="1:36" ht="15">
      <c r="A260" t="str">
        <f t="shared" si="12"/>
        <v>49591460BE</v>
      </c>
      <c r="B260" t="str">
        <f t="shared" si="13"/>
        <v>02406911202</v>
      </c>
      <c r="C260" t="s">
        <v>13</v>
      </c>
      <c r="D260" t="s">
        <v>37</v>
      </c>
      <c r="E260" t="s">
        <v>181</v>
      </c>
      <c r="F260" t="s">
        <v>106</v>
      </c>
      <c r="G260" t="str">
        <f>"08086280156"</f>
        <v>08086280156</v>
      </c>
      <c r="I260" t="s">
        <v>186</v>
      </c>
      <c r="L260" t="s">
        <v>45</v>
      </c>
      <c r="AJ260" s="1">
        <v>41638</v>
      </c>
    </row>
    <row r="261" spans="1:36" ht="15">
      <c r="A261" t="str">
        <f t="shared" si="12"/>
        <v>49591460BE</v>
      </c>
      <c r="B261" t="str">
        <f t="shared" si="13"/>
        <v>02406911202</v>
      </c>
      <c r="C261" t="s">
        <v>13</v>
      </c>
      <c r="D261" t="s">
        <v>37</v>
      </c>
      <c r="E261" t="s">
        <v>181</v>
      </c>
      <c r="F261" t="s">
        <v>106</v>
      </c>
      <c r="G261" t="str">
        <f>"02518990284"</f>
        <v>02518990284</v>
      </c>
      <c r="I261" t="s">
        <v>187</v>
      </c>
      <c r="L261" t="s">
        <v>45</v>
      </c>
      <c r="AJ261" s="1">
        <v>41638</v>
      </c>
    </row>
    <row r="262" spans="1:36" ht="15">
      <c r="A262" t="str">
        <f t="shared" si="12"/>
        <v>49591460BE</v>
      </c>
      <c r="B262" t="str">
        <f t="shared" si="13"/>
        <v>02406911202</v>
      </c>
      <c r="C262" t="s">
        <v>13</v>
      </c>
      <c r="D262" t="s">
        <v>37</v>
      </c>
      <c r="E262" t="s">
        <v>181</v>
      </c>
      <c r="F262" t="s">
        <v>106</v>
      </c>
      <c r="G262" t="str">
        <f>"00784230872"</f>
        <v>00784230872</v>
      </c>
      <c r="I262" t="s">
        <v>188</v>
      </c>
      <c r="L262" t="s">
        <v>45</v>
      </c>
      <c r="AJ262" s="1">
        <v>41638</v>
      </c>
    </row>
    <row r="263" spans="1:36" ht="15">
      <c r="A263" t="str">
        <f t="shared" si="12"/>
        <v>49591460BE</v>
      </c>
      <c r="B263" t="str">
        <f t="shared" si="13"/>
        <v>02406911202</v>
      </c>
      <c r="C263" t="s">
        <v>13</v>
      </c>
      <c r="D263" t="s">
        <v>37</v>
      </c>
      <c r="E263" t="s">
        <v>181</v>
      </c>
      <c r="F263" t="s">
        <v>106</v>
      </c>
      <c r="G263" t="str">
        <f>"08641790152"</f>
        <v>08641790152</v>
      </c>
      <c r="I263" t="s">
        <v>114</v>
      </c>
      <c r="L263" t="s">
        <v>45</v>
      </c>
      <c r="AJ263" s="1">
        <v>41638</v>
      </c>
    </row>
    <row r="264" spans="1:36" ht="15">
      <c r="A264" t="str">
        <f t="shared" si="12"/>
        <v>49591460BE</v>
      </c>
      <c r="B264" t="str">
        <f t="shared" si="13"/>
        <v>02406911202</v>
      </c>
      <c r="C264" t="s">
        <v>13</v>
      </c>
      <c r="D264" t="s">
        <v>37</v>
      </c>
      <c r="E264" t="s">
        <v>181</v>
      </c>
      <c r="F264" t="s">
        <v>106</v>
      </c>
      <c r="G264" t="str">
        <f>"06065650159"</f>
        <v>06065650159</v>
      </c>
      <c r="I264" t="s">
        <v>189</v>
      </c>
      <c r="L264" t="s">
        <v>45</v>
      </c>
      <c r="AJ264" s="1">
        <v>41638</v>
      </c>
    </row>
    <row r="265" spans="1:36" ht="15">
      <c r="A265" t="str">
        <f t="shared" si="12"/>
        <v>49591460BE</v>
      </c>
      <c r="B265" t="str">
        <f t="shared" si="13"/>
        <v>02406911202</v>
      </c>
      <c r="C265" t="s">
        <v>13</v>
      </c>
      <c r="D265" t="s">
        <v>37</v>
      </c>
      <c r="E265" t="s">
        <v>181</v>
      </c>
      <c r="F265" t="s">
        <v>106</v>
      </c>
      <c r="G265" t="str">
        <f>"05886861003"</f>
        <v>05886861003</v>
      </c>
      <c r="I265" t="s">
        <v>190</v>
      </c>
      <c r="L265" t="s">
        <v>45</v>
      </c>
      <c r="AJ265" s="1">
        <v>41638</v>
      </c>
    </row>
    <row r="266" spans="1:36" ht="15">
      <c r="A266" t="str">
        <f t="shared" si="12"/>
        <v>49591460BE</v>
      </c>
      <c r="B266" t="str">
        <f t="shared" si="13"/>
        <v>02406911202</v>
      </c>
      <c r="C266" t="s">
        <v>13</v>
      </c>
      <c r="D266" t="s">
        <v>37</v>
      </c>
      <c r="E266" t="s">
        <v>181</v>
      </c>
      <c r="F266" t="s">
        <v>106</v>
      </c>
      <c r="G266" t="str">
        <f>"01774010159"</f>
        <v>01774010159</v>
      </c>
      <c r="I266" t="s">
        <v>191</v>
      </c>
      <c r="L266" t="s">
        <v>45</v>
      </c>
      <c r="AJ266" s="1">
        <v>41638</v>
      </c>
    </row>
    <row r="267" spans="1:36" ht="15">
      <c r="A267" t="str">
        <f t="shared" si="12"/>
        <v>49591460BE</v>
      </c>
      <c r="B267" t="str">
        <f t="shared" si="13"/>
        <v>02406911202</v>
      </c>
      <c r="C267" t="s">
        <v>13</v>
      </c>
      <c r="D267" t="s">
        <v>37</v>
      </c>
      <c r="E267" t="s">
        <v>181</v>
      </c>
      <c r="F267" t="s">
        <v>106</v>
      </c>
      <c r="G267" t="str">
        <f>"00047510326"</f>
        <v>00047510326</v>
      </c>
      <c r="I267" t="s">
        <v>192</v>
      </c>
      <c r="L267" t="s">
        <v>45</v>
      </c>
      <c r="AJ267" s="1">
        <v>41638</v>
      </c>
    </row>
    <row r="268" spans="1:36" ht="15">
      <c r="A268" t="str">
        <f t="shared" si="12"/>
        <v>49591460BE</v>
      </c>
      <c r="B268" t="str">
        <f t="shared" si="13"/>
        <v>02406911202</v>
      </c>
      <c r="C268" t="s">
        <v>13</v>
      </c>
      <c r="D268" t="s">
        <v>37</v>
      </c>
      <c r="E268" t="s">
        <v>181</v>
      </c>
      <c r="F268" t="s">
        <v>106</v>
      </c>
      <c r="G268" t="str">
        <f>"01852100237"</f>
        <v>01852100237</v>
      </c>
      <c r="I268" t="s">
        <v>193</v>
      </c>
      <c r="L268" t="s">
        <v>45</v>
      </c>
      <c r="AJ268" s="1">
        <v>41638</v>
      </c>
    </row>
    <row r="269" spans="1:36" ht="15">
      <c r="A269" t="str">
        <f t="shared" si="12"/>
        <v>49591460BE</v>
      </c>
      <c r="B269" t="str">
        <f t="shared" si="13"/>
        <v>02406911202</v>
      </c>
      <c r="C269" t="s">
        <v>13</v>
      </c>
      <c r="D269" t="s">
        <v>37</v>
      </c>
      <c r="E269" t="s">
        <v>181</v>
      </c>
      <c r="F269" t="s">
        <v>106</v>
      </c>
      <c r="G269" t="str">
        <f>"00227080231"</f>
        <v>00227080231</v>
      </c>
      <c r="I269" t="s">
        <v>74</v>
      </c>
      <c r="L269" t="s">
        <v>45</v>
      </c>
      <c r="AJ269" s="1">
        <v>41638</v>
      </c>
    </row>
    <row r="270" spans="1:36" ht="15">
      <c r="A270" t="str">
        <f t="shared" si="12"/>
        <v>49591460BE</v>
      </c>
      <c r="B270" t="str">
        <f t="shared" si="13"/>
        <v>02406911202</v>
      </c>
      <c r="C270" t="s">
        <v>13</v>
      </c>
      <c r="D270" t="s">
        <v>37</v>
      </c>
      <c r="E270" t="s">
        <v>181</v>
      </c>
      <c r="F270" t="s">
        <v>106</v>
      </c>
      <c r="G270" t="str">
        <f>"02503550283"</f>
        <v>02503550283</v>
      </c>
      <c r="I270" t="s">
        <v>194</v>
      </c>
      <c r="L270" t="s">
        <v>45</v>
      </c>
      <c r="AJ270" s="1">
        <v>41638</v>
      </c>
    </row>
    <row r="271" spans="1:36" ht="15">
      <c r="A271" t="str">
        <f t="shared" si="12"/>
        <v>49591460BE</v>
      </c>
      <c r="B271" t="str">
        <f t="shared" si="13"/>
        <v>02406911202</v>
      </c>
      <c r="C271" t="s">
        <v>13</v>
      </c>
      <c r="D271" t="s">
        <v>37</v>
      </c>
      <c r="E271" t="s">
        <v>181</v>
      </c>
      <c r="F271" t="s">
        <v>106</v>
      </c>
      <c r="G271" t="str">
        <f>"03237150234"</f>
        <v>03237150234</v>
      </c>
      <c r="I271" t="s">
        <v>195</v>
      </c>
      <c r="L271" t="s">
        <v>45</v>
      </c>
      <c r="AJ271" s="1">
        <v>41638</v>
      </c>
    </row>
    <row r="272" spans="1:36" ht="15">
      <c r="A272" t="str">
        <f t="shared" si="12"/>
        <v>49591460BE</v>
      </c>
      <c r="B272" t="str">
        <f t="shared" si="13"/>
        <v>02406911202</v>
      </c>
      <c r="C272" t="s">
        <v>13</v>
      </c>
      <c r="D272" t="s">
        <v>37</v>
      </c>
      <c r="E272" t="s">
        <v>181</v>
      </c>
      <c r="F272" t="s">
        <v>106</v>
      </c>
      <c r="G272" t="str">
        <f>"01501420853"</f>
        <v>01501420853</v>
      </c>
      <c r="I272" t="s">
        <v>196</v>
      </c>
      <c r="L272" t="s">
        <v>41</v>
      </c>
      <c r="M272">
        <v>38608</v>
      </c>
      <c r="AG272">
        <v>28096.25</v>
      </c>
      <c r="AH272" s="1">
        <v>41366</v>
      </c>
      <c r="AI272" s="1">
        <v>42826</v>
      </c>
      <c r="AJ272" s="1">
        <v>41638</v>
      </c>
    </row>
    <row r="273" spans="1:36" ht="15">
      <c r="A273" t="str">
        <f t="shared" si="12"/>
        <v>49591460BE</v>
      </c>
      <c r="B273" t="str">
        <f t="shared" si="13"/>
        <v>02406911202</v>
      </c>
      <c r="C273" t="s">
        <v>13</v>
      </c>
      <c r="D273" t="s">
        <v>37</v>
      </c>
      <c r="E273" t="s">
        <v>181</v>
      </c>
      <c r="F273" t="s">
        <v>106</v>
      </c>
      <c r="G273" t="str">
        <f>"00939580080"</f>
        <v>00939580080</v>
      </c>
      <c r="I273" t="s">
        <v>197</v>
      </c>
      <c r="L273" t="s">
        <v>45</v>
      </c>
      <c r="AJ273" s="1">
        <v>41638</v>
      </c>
    </row>
    <row r="274" spans="1:36" ht="15">
      <c r="A274" t="str">
        <f t="shared" si="12"/>
        <v>49591460BE</v>
      </c>
      <c r="B274" t="str">
        <f t="shared" si="13"/>
        <v>02406911202</v>
      </c>
      <c r="C274" t="s">
        <v>13</v>
      </c>
      <c r="D274" t="s">
        <v>37</v>
      </c>
      <c r="E274" t="s">
        <v>181</v>
      </c>
      <c r="F274" t="s">
        <v>106</v>
      </c>
      <c r="G274" t="str">
        <f>"01585920208"</f>
        <v>01585920208</v>
      </c>
      <c r="I274" t="s">
        <v>198</v>
      </c>
      <c r="L274" t="s">
        <v>45</v>
      </c>
      <c r="AJ274" s="1">
        <v>41638</v>
      </c>
    </row>
    <row r="275" spans="1:36" ht="15">
      <c r="A275" t="str">
        <f t="shared" si="12"/>
        <v>49591460BE</v>
      </c>
      <c r="B275" t="str">
        <f t="shared" si="13"/>
        <v>02406911202</v>
      </c>
      <c r="C275" t="s">
        <v>13</v>
      </c>
      <c r="D275" t="s">
        <v>37</v>
      </c>
      <c r="E275" t="s">
        <v>181</v>
      </c>
      <c r="F275" t="s">
        <v>106</v>
      </c>
      <c r="G275" t="str">
        <f>"02401440157"</f>
        <v>02401440157</v>
      </c>
      <c r="I275" t="s">
        <v>199</v>
      </c>
      <c r="L275" t="s">
        <v>45</v>
      </c>
      <c r="AJ275" s="1">
        <v>41638</v>
      </c>
    </row>
    <row r="276" spans="1:36" ht="15">
      <c r="A276" t="str">
        <f t="shared" si="12"/>
        <v>49591460BE</v>
      </c>
      <c r="B276" t="str">
        <f t="shared" si="13"/>
        <v>02406911202</v>
      </c>
      <c r="C276" t="s">
        <v>13</v>
      </c>
      <c r="D276" t="s">
        <v>37</v>
      </c>
      <c r="E276" t="s">
        <v>181</v>
      </c>
      <c r="F276" t="s">
        <v>106</v>
      </c>
      <c r="G276" t="str">
        <f>"01316780426"</f>
        <v>01316780426</v>
      </c>
      <c r="I276" t="s">
        <v>200</v>
      </c>
      <c r="L276" t="s">
        <v>45</v>
      </c>
      <c r="AJ276" s="1">
        <v>41638</v>
      </c>
    </row>
    <row r="277" spans="1:36" ht="15">
      <c r="A277" t="str">
        <f t="shared" si="12"/>
        <v>49591460BE</v>
      </c>
      <c r="B277" t="str">
        <f t="shared" si="13"/>
        <v>02406911202</v>
      </c>
      <c r="C277" t="s">
        <v>13</v>
      </c>
      <c r="D277" t="s">
        <v>37</v>
      </c>
      <c r="E277" t="s">
        <v>181</v>
      </c>
      <c r="F277" t="s">
        <v>106</v>
      </c>
      <c r="G277" t="str">
        <f>"02154270595"</f>
        <v>02154270595</v>
      </c>
      <c r="I277" t="s">
        <v>143</v>
      </c>
      <c r="L277" t="s">
        <v>45</v>
      </c>
      <c r="AJ277" s="1">
        <v>41638</v>
      </c>
    </row>
    <row r="278" spans="1:36" ht="15">
      <c r="A278" t="str">
        <f t="shared" si="12"/>
        <v>49591460BE</v>
      </c>
      <c r="B278" t="str">
        <f t="shared" si="13"/>
        <v>02406911202</v>
      </c>
      <c r="C278" t="s">
        <v>13</v>
      </c>
      <c r="D278" t="s">
        <v>37</v>
      </c>
      <c r="E278" t="s">
        <v>181</v>
      </c>
      <c r="F278" t="s">
        <v>106</v>
      </c>
      <c r="G278" t="str">
        <f>"03428610152"</f>
        <v>03428610152</v>
      </c>
      <c r="I278" t="s">
        <v>201</v>
      </c>
      <c r="L278" t="s">
        <v>45</v>
      </c>
      <c r="AJ278" s="1">
        <v>41638</v>
      </c>
    </row>
    <row r="279" spans="1:36" ht="15">
      <c r="A279" t="str">
        <f t="shared" si="12"/>
        <v>49591460BE</v>
      </c>
      <c r="B279" t="str">
        <f t="shared" si="13"/>
        <v>02406911202</v>
      </c>
      <c r="C279" t="s">
        <v>13</v>
      </c>
      <c r="D279" t="s">
        <v>37</v>
      </c>
      <c r="E279" t="s">
        <v>181</v>
      </c>
      <c r="F279" t="s">
        <v>106</v>
      </c>
      <c r="G279" t="str">
        <f>"02975440369"</f>
        <v>02975440369</v>
      </c>
      <c r="I279" t="s">
        <v>202</v>
      </c>
      <c r="L279" t="s">
        <v>45</v>
      </c>
      <c r="AJ279" s="1">
        <v>41638</v>
      </c>
    </row>
    <row r="280" spans="1:36" ht="15">
      <c r="A280" t="str">
        <f t="shared" si="12"/>
        <v>49591460BE</v>
      </c>
      <c r="B280" t="str">
        <f t="shared" si="13"/>
        <v>02406911202</v>
      </c>
      <c r="C280" t="s">
        <v>13</v>
      </c>
      <c r="D280" t="s">
        <v>37</v>
      </c>
      <c r="E280" t="s">
        <v>181</v>
      </c>
      <c r="F280" t="s">
        <v>106</v>
      </c>
      <c r="G280" t="str">
        <f>"02173550282"</f>
        <v>02173550282</v>
      </c>
      <c r="I280" t="s">
        <v>203</v>
      </c>
      <c r="L280" t="s">
        <v>45</v>
      </c>
      <c r="AJ280" s="1">
        <v>41638</v>
      </c>
    </row>
    <row r="281" spans="1:36" ht="15">
      <c r="A281" t="str">
        <f aca="true" t="shared" si="14" ref="A281:A305">"4959181D9C"</f>
        <v>4959181D9C</v>
      </c>
      <c r="B281" t="str">
        <f t="shared" si="13"/>
        <v>02406911202</v>
      </c>
      <c r="C281" t="s">
        <v>13</v>
      </c>
      <c r="D281" t="s">
        <v>37</v>
      </c>
      <c r="E281" t="s">
        <v>181</v>
      </c>
      <c r="F281" t="s">
        <v>106</v>
      </c>
      <c r="G281" t="str">
        <f>"02284760366"</f>
        <v>02284760366</v>
      </c>
      <c r="I281" t="s">
        <v>182</v>
      </c>
      <c r="L281" t="s">
        <v>45</v>
      </c>
      <c r="AJ281" s="1">
        <v>41638</v>
      </c>
    </row>
    <row r="282" spans="1:36" ht="15">
      <c r="A282" t="str">
        <f t="shared" si="14"/>
        <v>4959181D9C</v>
      </c>
      <c r="B282" t="str">
        <f t="shared" si="13"/>
        <v>02406911202</v>
      </c>
      <c r="C282" t="s">
        <v>13</v>
      </c>
      <c r="D282" t="s">
        <v>37</v>
      </c>
      <c r="E282" t="s">
        <v>181</v>
      </c>
      <c r="F282" t="s">
        <v>106</v>
      </c>
      <c r="G282" t="str">
        <f>"00495451205"</f>
        <v>00495451205</v>
      </c>
      <c r="I282" t="s">
        <v>183</v>
      </c>
      <c r="L282" t="s">
        <v>45</v>
      </c>
      <c r="AJ282" s="1">
        <v>41638</v>
      </c>
    </row>
    <row r="283" spans="1:36" ht="15">
      <c r="A283" t="str">
        <f t="shared" si="14"/>
        <v>4959181D9C</v>
      </c>
      <c r="B283" t="str">
        <f t="shared" si="13"/>
        <v>02406911202</v>
      </c>
      <c r="C283" t="s">
        <v>13</v>
      </c>
      <c r="D283" t="s">
        <v>37</v>
      </c>
      <c r="E283" t="s">
        <v>181</v>
      </c>
      <c r="F283" t="s">
        <v>106</v>
      </c>
      <c r="G283" t="str">
        <f>"02790240101"</f>
        <v>02790240101</v>
      </c>
      <c r="I283" t="s">
        <v>184</v>
      </c>
      <c r="L283" t="s">
        <v>45</v>
      </c>
      <c r="AJ283" s="1">
        <v>41638</v>
      </c>
    </row>
    <row r="284" spans="1:36" ht="15">
      <c r="A284" t="str">
        <f t="shared" si="14"/>
        <v>4959181D9C</v>
      </c>
      <c r="B284" t="str">
        <f t="shared" si="13"/>
        <v>02406911202</v>
      </c>
      <c r="C284" t="s">
        <v>13</v>
      </c>
      <c r="D284" t="s">
        <v>37</v>
      </c>
      <c r="E284" t="s">
        <v>181</v>
      </c>
      <c r="F284" t="s">
        <v>106</v>
      </c>
      <c r="G284" t="str">
        <f>"03277950287"</f>
        <v>03277950287</v>
      </c>
      <c r="I284" t="s">
        <v>185</v>
      </c>
      <c r="L284" t="s">
        <v>45</v>
      </c>
      <c r="AJ284" s="1">
        <v>41638</v>
      </c>
    </row>
    <row r="285" spans="1:36" ht="15">
      <c r="A285" t="str">
        <f t="shared" si="14"/>
        <v>4959181D9C</v>
      </c>
      <c r="B285" t="str">
        <f t="shared" si="13"/>
        <v>02406911202</v>
      </c>
      <c r="C285" t="s">
        <v>13</v>
      </c>
      <c r="D285" t="s">
        <v>37</v>
      </c>
      <c r="E285" t="s">
        <v>181</v>
      </c>
      <c r="F285" t="s">
        <v>106</v>
      </c>
      <c r="G285" t="str">
        <f>"08086280156"</f>
        <v>08086280156</v>
      </c>
      <c r="I285" t="s">
        <v>186</v>
      </c>
      <c r="L285" t="s">
        <v>45</v>
      </c>
      <c r="AJ285" s="1">
        <v>41638</v>
      </c>
    </row>
    <row r="286" spans="1:36" ht="15">
      <c r="A286" t="str">
        <f t="shared" si="14"/>
        <v>4959181D9C</v>
      </c>
      <c r="B286" t="str">
        <f t="shared" si="13"/>
        <v>02406911202</v>
      </c>
      <c r="C286" t="s">
        <v>13</v>
      </c>
      <c r="D286" t="s">
        <v>37</v>
      </c>
      <c r="E286" t="s">
        <v>181</v>
      </c>
      <c r="F286" t="s">
        <v>106</v>
      </c>
      <c r="G286" t="str">
        <f>"02518990284"</f>
        <v>02518990284</v>
      </c>
      <c r="I286" t="s">
        <v>187</v>
      </c>
      <c r="L286" t="s">
        <v>45</v>
      </c>
      <c r="AJ286" s="1">
        <v>41638</v>
      </c>
    </row>
    <row r="287" spans="1:36" ht="15">
      <c r="A287" t="str">
        <f t="shared" si="14"/>
        <v>4959181D9C</v>
      </c>
      <c r="B287" t="str">
        <f t="shared" si="13"/>
        <v>02406911202</v>
      </c>
      <c r="C287" t="s">
        <v>13</v>
      </c>
      <c r="D287" t="s">
        <v>37</v>
      </c>
      <c r="E287" t="s">
        <v>181</v>
      </c>
      <c r="F287" t="s">
        <v>106</v>
      </c>
      <c r="G287" t="str">
        <f>"00784230872"</f>
        <v>00784230872</v>
      </c>
      <c r="I287" t="s">
        <v>188</v>
      </c>
      <c r="L287" t="s">
        <v>45</v>
      </c>
      <c r="AJ287" s="1">
        <v>41638</v>
      </c>
    </row>
    <row r="288" spans="1:36" ht="15">
      <c r="A288" t="str">
        <f t="shared" si="14"/>
        <v>4959181D9C</v>
      </c>
      <c r="B288" t="str">
        <f t="shared" si="13"/>
        <v>02406911202</v>
      </c>
      <c r="C288" t="s">
        <v>13</v>
      </c>
      <c r="D288" t="s">
        <v>37</v>
      </c>
      <c r="E288" t="s">
        <v>181</v>
      </c>
      <c r="F288" t="s">
        <v>106</v>
      </c>
      <c r="G288" t="str">
        <f>"08641790152"</f>
        <v>08641790152</v>
      </c>
      <c r="I288" t="s">
        <v>114</v>
      </c>
      <c r="L288" t="s">
        <v>45</v>
      </c>
      <c r="AJ288" s="1">
        <v>41638</v>
      </c>
    </row>
    <row r="289" spans="1:36" ht="15">
      <c r="A289" t="str">
        <f t="shared" si="14"/>
        <v>4959181D9C</v>
      </c>
      <c r="B289" t="str">
        <f t="shared" si="13"/>
        <v>02406911202</v>
      </c>
      <c r="C289" t="s">
        <v>13</v>
      </c>
      <c r="D289" t="s">
        <v>37</v>
      </c>
      <c r="E289" t="s">
        <v>181</v>
      </c>
      <c r="F289" t="s">
        <v>106</v>
      </c>
      <c r="G289" t="str">
        <f>"06065650159"</f>
        <v>06065650159</v>
      </c>
      <c r="I289" t="s">
        <v>189</v>
      </c>
      <c r="L289" t="s">
        <v>45</v>
      </c>
      <c r="AJ289" s="1">
        <v>41638</v>
      </c>
    </row>
    <row r="290" spans="1:36" ht="15">
      <c r="A290" t="str">
        <f t="shared" si="14"/>
        <v>4959181D9C</v>
      </c>
      <c r="B290" t="str">
        <f t="shared" si="13"/>
        <v>02406911202</v>
      </c>
      <c r="C290" t="s">
        <v>13</v>
      </c>
      <c r="D290" t="s">
        <v>37</v>
      </c>
      <c r="E290" t="s">
        <v>181</v>
      </c>
      <c r="F290" t="s">
        <v>106</v>
      </c>
      <c r="G290" t="str">
        <f>"05886861003"</f>
        <v>05886861003</v>
      </c>
      <c r="I290" t="s">
        <v>190</v>
      </c>
      <c r="L290" t="s">
        <v>45</v>
      </c>
      <c r="AJ290" s="1">
        <v>41638</v>
      </c>
    </row>
    <row r="291" spans="1:36" ht="15">
      <c r="A291" t="str">
        <f t="shared" si="14"/>
        <v>4959181D9C</v>
      </c>
      <c r="B291" t="str">
        <f t="shared" si="13"/>
        <v>02406911202</v>
      </c>
      <c r="C291" t="s">
        <v>13</v>
      </c>
      <c r="D291" t="s">
        <v>37</v>
      </c>
      <c r="E291" t="s">
        <v>181</v>
      </c>
      <c r="F291" t="s">
        <v>106</v>
      </c>
      <c r="G291" t="str">
        <f>"01774010159"</f>
        <v>01774010159</v>
      </c>
      <c r="I291" t="s">
        <v>191</v>
      </c>
      <c r="L291" t="s">
        <v>45</v>
      </c>
      <c r="AJ291" s="1">
        <v>41638</v>
      </c>
    </row>
    <row r="292" spans="1:36" ht="15">
      <c r="A292" t="str">
        <f t="shared" si="14"/>
        <v>4959181D9C</v>
      </c>
      <c r="B292" t="str">
        <f t="shared" si="13"/>
        <v>02406911202</v>
      </c>
      <c r="C292" t="s">
        <v>13</v>
      </c>
      <c r="D292" t="s">
        <v>37</v>
      </c>
      <c r="E292" t="s">
        <v>181</v>
      </c>
      <c r="F292" t="s">
        <v>106</v>
      </c>
      <c r="G292" t="str">
        <f>"00047510326"</f>
        <v>00047510326</v>
      </c>
      <c r="I292" t="s">
        <v>192</v>
      </c>
      <c r="L292" t="s">
        <v>45</v>
      </c>
      <c r="AJ292" s="1">
        <v>41638</v>
      </c>
    </row>
    <row r="293" spans="1:36" ht="15">
      <c r="A293" t="str">
        <f t="shared" si="14"/>
        <v>4959181D9C</v>
      </c>
      <c r="B293" t="str">
        <f t="shared" si="13"/>
        <v>02406911202</v>
      </c>
      <c r="C293" t="s">
        <v>13</v>
      </c>
      <c r="D293" t="s">
        <v>37</v>
      </c>
      <c r="E293" t="s">
        <v>181</v>
      </c>
      <c r="F293" t="s">
        <v>106</v>
      </c>
      <c r="G293" t="str">
        <f>"01852100237"</f>
        <v>01852100237</v>
      </c>
      <c r="I293" t="s">
        <v>193</v>
      </c>
      <c r="L293" t="s">
        <v>45</v>
      </c>
      <c r="AJ293" s="1">
        <v>41638</v>
      </c>
    </row>
    <row r="294" spans="1:36" ht="15">
      <c r="A294" t="str">
        <f t="shared" si="14"/>
        <v>4959181D9C</v>
      </c>
      <c r="B294" t="str">
        <f t="shared" si="13"/>
        <v>02406911202</v>
      </c>
      <c r="C294" t="s">
        <v>13</v>
      </c>
      <c r="D294" t="s">
        <v>37</v>
      </c>
      <c r="E294" t="s">
        <v>181</v>
      </c>
      <c r="F294" t="s">
        <v>106</v>
      </c>
      <c r="G294" t="str">
        <f>"00227080231"</f>
        <v>00227080231</v>
      </c>
      <c r="I294" t="s">
        <v>74</v>
      </c>
      <c r="L294" t="s">
        <v>45</v>
      </c>
      <c r="AJ294" s="1">
        <v>41638</v>
      </c>
    </row>
    <row r="295" spans="1:36" ht="15">
      <c r="A295" t="str">
        <f t="shared" si="14"/>
        <v>4959181D9C</v>
      </c>
      <c r="B295" t="str">
        <f t="shared" si="13"/>
        <v>02406911202</v>
      </c>
      <c r="C295" t="s">
        <v>13</v>
      </c>
      <c r="D295" t="s">
        <v>37</v>
      </c>
      <c r="E295" t="s">
        <v>181</v>
      </c>
      <c r="F295" t="s">
        <v>106</v>
      </c>
      <c r="G295" t="str">
        <f>"02503550283"</f>
        <v>02503550283</v>
      </c>
      <c r="I295" t="s">
        <v>194</v>
      </c>
      <c r="L295" t="s">
        <v>45</v>
      </c>
      <c r="AJ295" s="1">
        <v>41638</v>
      </c>
    </row>
    <row r="296" spans="1:36" ht="15">
      <c r="A296" t="str">
        <f t="shared" si="14"/>
        <v>4959181D9C</v>
      </c>
      <c r="B296" t="str">
        <f t="shared" si="13"/>
        <v>02406911202</v>
      </c>
      <c r="C296" t="s">
        <v>13</v>
      </c>
      <c r="D296" t="s">
        <v>37</v>
      </c>
      <c r="E296" t="s">
        <v>181</v>
      </c>
      <c r="F296" t="s">
        <v>106</v>
      </c>
      <c r="G296" t="str">
        <f>"03237150234"</f>
        <v>03237150234</v>
      </c>
      <c r="I296" t="s">
        <v>195</v>
      </c>
      <c r="L296" t="s">
        <v>45</v>
      </c>
      <c r="AJ296" s="1">
        <v>41638</v>
      </c>
    </row>
    <row r="297" spans="1:36" ht="15">
      <c r="A297" t="str">
        <f t="shared" si="14"/>
        <v>4959181D9C</v>
      </c>
      <c r="B297" t="str">
        <f t="shared" si="13"/>
        <v>02406911202</v>
      </c>
      <c r="C297" t="s">
        <v>13</v>
      </c>
      <c r="D297" t="s">
        <v>37</v>
      </c>
      <c r="E297" t="s">
        <v>181</v>
      </c>
      <c r="F297" t="s">
        <v>106</v>
      </c>
      <c r="G297" t="str">
        <f>"01501420853"</f>
        <v>01501420853</v>
      </c>
      <c r="I297" t="s">
        <v>196</v>
      </c>
      <c r="L297" t="s">
        <v>45</v>
      </c>
      <c r="AJ297" s="1">
        <v>41638</v>
      </c>
    </row>
    <row r="298" spans="1:36" ht="15">
      <c r="A298" t="str">
        <f t="shared" si="14"/>
        <v>4959181D9C</v>
      </c>
      <c r="B298" t="str">
        <f t="shared" si="13"/>
        <v>02406911202</v>
      </c>
      <c r="C298" t="s">
        <v>13</v>
      </c>
      <c r="D298" t="s">
        <v>37</v>
      </c>
      <c r="E298" t="s">
        <v>181</v>
      </c>
      <c r="F298" t="s">
        <v>106</v>
      </c>
      <c r="G298" t="str">
        <f>"00939580080"</f>
        <v>00939580080</v>
      </c>
      <c r="I298" t="s">
        <v>197</v>
      </c>
      <c r="L298" t="s">
        <v>45</v>
      </c>
      <c r="AJ298" s="1">
        <v>41638</v>
      </c>
    </row>
    <row r="299" spans="1:36" ht="15">
      <c r="A299" t="str">
        <f t="shared" si="14"/>
        <v>4959181D9C</v>
      </c>
      <c r="B299" t="str">
        <f t="shared" si="13"/>
        <v>02406911202</v>
      </c>
      <c r="C299" t="s">
        <v>13</v>
      </c>
      <c r="D299" t="s">
        <v>37</v>
      </c>
      <c r="E299" t="s">
        <v>181</v>
      </c>
      <c r="F299" t="s">
        <v>106</v>
      </c>
      <c r="G299" t="str">
        <f>"01585920208"</f>
        <v>01585920208</v>
      </c>
      <c r="I299" t="s">
        <v>198</v>
      </c>
      <c r="L299" t="s">
        <v>41</v>
      </c>
      <c r="M299">
        <v>50080</v>
      </c>
      <c r="AG299">
        <v>38344.3</v>
      </c>
      <c r="AH299" s="1">
        <v>41366</v>
      </c>
      <c r="AI299" s="1">
        <v>42826</v>
      </c>
      <c r="AJ299" s="1">
        <v>41638</v>
      </c>
    </row>
    <row r="300" spans="1:36" ht="15">
      <c r="A300" t="str">
        <f t="shared" si="14"/>
        <v>4959181D9C</v>
      </c>
      <c r="B300" t="str">
        <f t="shared" si="13"/>
        <v>02406911202</v>
      </c>
      <c r="C300" t="s">
        <v>13</v>
      </c>
      <c r="D300" t="s">
        <v>37</v>
      </c>
      <c r="E300" t="s">
        <v>181</v>
      </c>
      <c r="F300" t="s">
        <v>106</v>
      </c>
      <c r="G300" t="str">
        <f>"02401440157"</f>
        <v>02401440157</v>
      </c>
      <c r="I300" t="s">
        <v>199</v>
      </c>
      <c r="L300" t="s">
        <v>45</v>
      </c>
      <c r="AJ300" s="1">
        <v>41638</v>
      </c>
    </row>
    <row r="301" spans="1:36" ht="15">
      <c r="A301" t="str">
        <f t="shared" si="14"/>
        <v>4959181D9C</v>
      </c>
      <c r="B301" t="str">
        <f t="shared" si="13"/>
        <v>02406911202</v>
      </c>
      <c r="C301" t="s">
        <v>13</v>
      </c>
      <c r="D301" t="s">
        <v>37</v>
      </c>
      <c r="E301" t="s">
        <v>181</v>
      </c>
      <c r="F301" t="s">
        <v>106</v>
      </c>
      <c r="G301" t="str">
        <f>"01316780426"</f>
        <v>01316780426</v>
      </c>
      <c r="I301" t="s">
        <v>200</v>
      </c>
      <c r="L301" t="s">
        <v>45</v>
      </c>
      <c r="AJ301" s="1">
        <v>41638</v>
      </c>
    </row>
    <row r="302" spans="1:36" ht="15">
      <c r="A302" t="str">
        <f t="shared" si="14"/>
        <v>4959181D9C</v>
      </c>
      <c r="B302" t="str">
        <f t="shared" si="13"/>
        <v>02406911202</v>
      </c>
      <c r="C302" t="s">
        <v>13</v>
      </c>
      <c r="D302" t="s">
        <v>37</v>
      </c>
      <c r="E302" t="s">
        <v>181</v>
      </c>
      <c r="F302" t="s">
        <v>106</v>
      </c>
      <c r="G302" t="str">
        <f>"02154270595"</f>
        <v>02154270595</v>
      </c>
      <c r="I302" t="s">
        <v>143</v>
      </c>
      <c r="L302" t="s">
        <v>45</v>
      </c>
      <c r="AJ302" s="1">
        <v>41638</v>
      </c>
    </row>
    <row r="303" spans="1:36" ht="15">
      <c r="A303" t="str">
        <f t="shared" si="14"/>
        <v>4959181D9C</v>
      </c>
      <c r="B303" t="str">
        <f t="shared" si="13"/>
        <v>02406911202</v>
      </c>
      <c r="C303" t="s">
        <v>13</v>
      </c>
      <c r="D303" t="s">
        <v>37</v>
      </c>
      <c r="E303" t="s">
        <v>181</v>
      </c>
      <c r="F303" t="s">
        <v>106</v>
      </c>
      <c r="G303" t="str">
        <f>"03428610152"</f>
        <v>03428610152</v>
      </c>
      <c r="I303" t="s">
        <v>201</v>
      </c>
      <c r="L303" t="s">
        <v>45</v>
      </c>
      <c r="AJ303" s="1">
        <v>41638</v>
      </c>
    </row>
    <row r="304" spans="1:36" ht="15">
      <c r="A304" t="str">
        <f t="shared" si="14"/>
        <v>4959181D9C</v>
      </c>
      <c r="B304" t="str">
        <f t="shared" si="13"/>
        <v>02406911202</v>
      </c>
      <c r="C304" t="s">
        <v>13</v>
      </c>
      <c r="D304" t="s">
        <v>37</v>
      </c>
      <c r="E304" t="s">
        <v>181</v>
      </c>
      <c r="F304" t="s">
        <v>106</v>
      </c>
      <c r="G304" t="str">
        <f>"02975440369"</f>
        <v>02975440369</v>
      </c>
      <c r="I304" t="s">
        <v>202</v>
      </c>
      <c r="L304" t="s">
        <v>45</v>
      </c>
      <c r="AJ304" s="1">
        <v>41638</v>
      </c>
    </row>
    <row r="305" spans="1:36" ht="15">
      <c r="A305" t="str">
        <f t="shared" si="14"/>
        <v>4959181D9C</v>
      </c>
      <c r="B305" t="str">
        <f t="shared" si="13"/>
        <v>02406911202</v>
      </c>
      <c r="C305" t="s">
        <v>13</v>
      </c>
      <c r="D305" t="s">
        <v>37</v>
      </c>
      <c r="E305" t="s">
        <v>181</v>
      </c>
      <c r="F305" t="s">
        <v>106</v>
      </c>
      <c r="G305" t="str">
        <f>"02173550282"</f>
        <v>02173550282</v>
      </c>
      <c r="I305" t="s">
        <v>203</v>
      </c>
      <c r="L305" t="s">
        <v>45</v>
      </c>
      <c r="AJ305" s="1">
        <v>41638</v>
      </c>
    </row>
    <row r="306" spans="1:36" ht="15">
      <c r="A306" t="str">
        <f>"4959159B75"</f>
        <v>4959159B75</v>
      </c>
      <c r="B306" t="str">
        <f t="shared" si="13"/>
        <v>02406911202</v>
      </c>
      <c r="C306" t="s">
        <v>13</v>
      </c>
      <c r="D306" t="s">
        <v>37</v>
      </c>
      <c r="E306" t="s">
        <v>204</v>
      </c>
      <c r="F306" t="s">
        <v>106</v>
      </c>
      <c r="G306" t="str">
        <f>"01316780426"</f>
        <v>01316780426</v>
      </c>
      <c r="I306" t="s">
        <v>200</v>
      </c>
      <c r="L306" t="s">
        <v>41</v>
      </c>
      <c r="M306">
        <v>31464</v>
      </c>
      <c r="AG306">
        <v>1179</v>
      </c>
      <c r="AH306" s="1">
        <v>41620</v>
      </c>
      <c r="AI306" s="1">
        <v>42839</v>
      </c>
      <c r="AJ306" s="1">
        <v>41638</v>
      </c>
    </row>
    <row r="307" spans="1:36" ht="15">
      <c r="A307" t="str">
        <f aca="true" t="shared" si="15" ref="A307:A331">"49591969FE"</f>
        <v>49591969FE</v>
      </c>
      <c r="B307" t="str">
        <f t="shared" si="13"/>
        <v>02406911202</v>
      </c>
      <c r="C307" t="s">
        <v>13</v>
      </c>
      <c r="D307" t="s">
        <v>37</v>
      </c>
      <c r="E307" t="s">
        <v>181</v>
      </c>
      <c r="F307" t="s">
        <v>106</v>
      </c>
      <c r="G307" t="str">
        <f>"02284760366"</f>
        <v>02284760366</v>
      </c>
      <c r="I307" t="s">
        <v>182</v>
      </c>
      <c r="L307" t="s">
        <v>45</v>
      </c>
      <c r="AJ307" s="1">
        <v>41638</v>
      </c>
    </row>
    <row r="308" spans="1:36" ht="15">
      <c r="A308" t="str">
        <f t="shared" si="15"/>
        <v>49591969FE</v>
      </c>
      <c r="B308" t="str">
        <f t="shared" si="13"/>
        <v>02406911202</v>
      </c>
      <c r="C308" t="s">
        <v>13</v>
      </c>
      <c r="D308" t="s">
        <v>37</v>
      </c>
      <c r="E308" t="s">
        <v>181</v>
      </c>
      <c r="F308" t="s">
        <v>106</v>
      </c>
      <c r="G308" t="str">
        <f>"00495451205"</f>
        <v>00495451205</v>
      </c>
      <c r="I308" t="s">
        <v>183</v>
      </c>
      <c r="L308" t="s">
        <v>45</v>
      </c>
      <c r="AJ308" s="1">
        <v>41638</v>
      </c>
    </row>
    <row r="309" spans="1:36" ht="15">
      <c r="A309" t="str">
        <f t="shared" si="15"/>
        <v>49591969FE</v>
      </c>
      <c r="B309" t="str">
        <f t="shared" si="13"/>
        <v>02406911202</v>
      </c>
      <c r="C309" t="s">
        <v>13</v>
      </c>
      <c r="D309" t="s">
        <v>37</v>
      </c>
      <c r="E309" t="s">
        <v>181</v>
      </c>
      <c r="F309" t="s">
        <v>106</v>
      </c>
      <c r="G309" t="str">
        <f>"02790240101"</f>
        <v>02790240101</v>
      </c>
      <c r="I309" t="s">
        <v>184</v>
      </c>
      <c r="L309" t="s">
        <v>45</v>
      </c>
      <c r="AJ309" s="1">
        <v>41638</v>
      </c>
    </row>
    <row r="310" spans="1:36" ht="15">
      <c r="A310" t="str">
        <f t="shared" si="15"/>
        <v>49591969FE</v>
      </c>
      <c r="B310" t="str">
        <f t="shared" si="13"/>
        <v>02406911202</v>
      </c>
      <c r="C310" t="s">
        <v>13</v>
      </c>
      <c r="D310" t="s">
        <v>37</v>
      </c>
      <c r="E310" t="s">
        <v>181</v>
      </c>
      <c r="F310" t="s">
        <v>106</v>
      </c>
      <c r="G310" t="str">
        <f>"03277950287"</f>
        <v>03277950287</v>
      </c>
      <c r="I310" t="s">
        <v>185</v>
      </c>
      <c r="L310" t="s">
        <v>45</v>
      </c>
      <c r="AJ310" s="1">
        <v>41638</v>
      </c>
    </row>
    <row r="311" spans="1:36" ht="15">
      <c r="A311" t="str">
        <f t="shared" si="15"/>
        <v>49591969FE</v>
      </c>
      <c r="B311" t="str">
        <f t="shared" si="13"/>
        <v>02406911202</v>
      </c>
      <c r="C311" t="s">
        <v>13</v>
      </c>
      <c r="D311" t="s">
        <v>37</v>
      </c>
      <c r="E311" t="s">
        <v>181</v>
      </c>
      <c r="F311" t="s">
        <v>106</v>
      </c>
      <c r="G311" t="str">
        <f>"08086280156"</f>
        <v>08086280156</v>
      </c>
      <c r="I311" t="s">
        <v>186</v>
      </c>
      <c r="L311" t="s">
        <v>45</v>
      </c>
      <c r="AJ311" s="1">
        <v>41638</v>
      </c>
    </row>
    <row r="312" spans="1:36" ht="15">
      <c r="A312" t="str">
        <f t="shared" si="15"/>
        <v>49591969FE</v>
      </c>
      <c r="B312" t="str">
        <f t="shared" si="13"/>
        <v>02406911202</v>
      </c>
      <c r="C312" t="s">
        <v>13</v>
      </c>
      <c r="D312" t="s">
        <v>37</v>
      </c>
      <c r="E312" t="s">
        <v>181</v>
      </c>
      <c r="F312" t="s">
        <v>106</v>
      </c>
      <c r="G312" t="str">
        <f>"02518990284"</f>
        <v>02518990284</v>
      </c>
      <c r="I312" t="s">
        <v>187</v>
      </c>
      <c r="L312" t="s">
        <v>45</v>
      </c>
      <c r="AJ312" s="1">
        <v>41638</v>
      </c>
    </row>
    <row r="313" spans="1:36" ht="15">
      <c r="A313" t="str">
        <f t="shared" si="15"/>
        <v>49591969FE</v>
      </c>
      <c r="B313" t="str">
        <f t="shared" si="13"/>
        <v>02406911202</v>
      </c>
      <c r="C313" t="s">
        <v>13</v>
      </c>
      <c r="D313" t="s">
        <v>37</v>
      </c>
      <c r="E313" t="s">
        <v>181</v>
      </c>
      <c r="F313" t="s">
        <v>106</v>
      </c>
      <c r="G313" t="str">
        <f>"00784230872"</f>
        <v>00784230872</v>
      </c>
      <c r="I313" t="s">
        <v>188</v>
      </c>
      <c r="L313" t="s">
        <v>45</v>
      </c>
      <c r="AJ313" s="1">
        <v>41638</v>
      </c>
    </row>
    <row r="314" spans="1:36" ht="15">
      <c r="A314" t="str">
        <f t="shared" si="15"/>
        <v>49591969FE</v>
      </c>
      <c r="B314" t="str">
        <f t="shared" si="13"/>
        <v>02406911202</v>
      </c>
      <c r="C314" t="s">
        <v>13</v>
      </c>
      <c r="D314" t="s">
        <v>37</v>
      </c>
      <c r="E314" t="s">
        <v>181</v>
      </c>
      <c r="F314" t="s">
        <v>106</v>
      </c>
      <c r="G314" t="str">
        <f>"08641790152"</f>
        <v>08641790152</v>
      </c>
      <c r="I314" t="s">
        <v>114</v>
      </c>
      <c r="L314" t="s">
        <v>45</v>
      </c>
      <c r="AJ314" s="1">
        <v>41638</v>
      </c>
    </row>
    <row r="315" spans="1:36" ht="15">
      <c r="A315" t="str">
        <f t="shared" si="15"/>
        <v>49591969FE</v>
      </c>
      <c r="B315" t="str">
        <f t="shared" si="13"/>
        <v>02406911202</v>
      </c>
      <c r="C315" t="s">
        <v>13</v>
      </c>
      <c r="D315" t="s">
        <v>37</v>
      </c>
      <c r="E315" t="s">
        <v>181</v>
      </c>
      <c r="F315" t="s">
        <v>106</v>
      </c>
      <c r="G315" t="str">
        <f>"06065650159"</f>
        <v>06065650159</v>
      </c>
      <c r="I315" t="s">
        <v>189</v>
      </c>
      <c r="L315" t="s">
        <v>45</v>
      </c>
      <c r="AJ315" s="1">
        <v>41638</v>
      </c>
    </row>
    <row r="316" spans="1:36" ht="15">
      <c r="A316" t="str">
        <f t="shared" si="15"/>
        <v>49591969FE</v>
      </c>
      <c r="B316" t="str">
        <f t="shared" si="13"/>
        <v>02406911202</v>
      </c>
      <c r="C316" t="s">
        <v>13</v>
      </c>
      <c r="D316" t="s">
        <v>37</v>
      </c>
      <c r="E316" t="s">
        <v>181</v>
      </c>
      <c r="F316" t="s">
        <v>106</v>
      </c>
      <c r="G316" t="str">
        <f>"05886861003"</f>
        <v>05886861003</v>
      </c>
      <c r="I316" t="s">
        <v>190</v>
      </c>
      <c r="L316" t="s">
        <v>45</v>
      </c>
      <c r="AJ316" s="1">
        <v>41638</v>
      </c>
    </row>
    <row r="317" spans="1:36" ht="15">
      <c r="A317" t="str">
        <f t="shared" si="15"/>
        <v>49591969FE</v>
      </c>
      <c r="B317" t="str">
        <f t="shared" si="13"/>
        <v>02406911202</v>
      </c>
      <c r="C317" t="s">
        <v>13</v>
      </c>
      <c r="D317" t="s">
        <v>37</v>
      </c>
      <c r="E317" t="s">
        <v>181</v>
      </c>
      <c r="F317" t="s">
        <v>106</v>
      </c>
      <c r="G317" t="str">
        <f>"01774010159"</f>
        <v>01774010159</v>
      </c>
      <c r="I317" t="s">
        <v>191</v>
      </c>
      <c r="L317" t="s">
        <v>45</v>
      </c>
      <c r="AJ317" s="1">
        <v>41638</v>
      </c>
    </row>
    <row r="318" spans="1:36" ht="15">
      <c r="A318" t="str">
        <f t="shared" si="15"/>
        <v>49591969FE</v>
      </c>
      <c r="B318" t="str">
        <f t="shared" si="13"/>
        <v>02406911202</v>
      </c>
      <c r="C318" t="s">
        <v>13</v>
      </c>
      <c r="D318" t="s">
        <v>37</v>
      </c>
      <c r="E318" t="s">
        <v>181</v>
      </c>
      <c r="F318" t="s">
        <v>106</v>
      </c>
      <c r="G318" t="str">
        <f>"00047510326"</f>
        <v>00047510326</v>
      </c>
      <c r="I318" t="s">
        <v>192</v>
      </c>
      <c r="L318" t="s">
        <v>45</v>
      </c>
      <c r="AJ318" s="1">
        <v>41638</v>
      </c>
    </row>
    <row r="319" spans="1:36" ht="15">
      <c r="A319" t="str">
        <f t="shared" si="15"/>
        <v>49591969FE</v>
      </c>
      <c r="B319" t="str">
        <f t="shared" si="13"/>
        <v>02406911202</v>
      </c>
      <c r="C319" t="s">
        <v>13</v>
      </c>
      <c r="D319" t="s">
        <v>37</v>
      </c>
      <c r="E319" t="s">
        <v>181</v>
      </c>
      <c r="F319" t="s">
        <v>106</v>
      </c>
      <c r="G319" t="str">
        <f>"01852100237"</f>
        <v>01852100237</v>
      </c>
      <c r="I319" t="s">
        <v>193</v>
      </c>
      <c r="L319" t="s">
        <v>45</v>
      </c>
      <c r="AJ319" s="1">
        <v>41638</v>
      </c>
    </row>
    <row r="320" spans="1:36" ht="15">
      <c r="A320" t="str">
        <f t="shared" si="15"/>
        <v>49591969FE</v>
      </c>
      <c r="B320" t="str">
        <f t="shared" si="13"/>
        <v>02406911202</v>
      </c>
      <c r="C320" t="s">
        <v>13</v>
      </c>
      <c r="D320" t="s">
        <v>37</v>
      </c>
      <c r="E320" t="s">
        <v>181</v>
      </c>
      <c r="F320" t="s">
        <v>106</v>
      </c>
      <c r="G320" t="str">
        <f>"00227080231"</f>
        <v>00227080231</v>
      </c>
      <c r="I320" t="s">
        <v>74</v>
      </c>
      <c r="L320" t="s">
        <v>45</v>
      </c>
      <c r="AJ320" s="1">
        <v>41638</v>
      </c>
    </row>
    <row r="321" spans="1:36" ht="15">
      <c r="A321" t="str">
        <f t="shared" si="15"/>
        <v>49591969FE</v>
      </c>
      <c r="B321" t="str">
        <f t="shared" si="13"/>
        <v>02406911202</v>
      </c>
      <c r="C321" t="s">
        <v>13</v>
      </c>
      <c r="D321" t="s">
        <v>37</v>
      </c>
      <c r="E321" t="s">
        <v>181</v>
      </c>
      <c r="F321" t="s">
        <v>106</v>
      </c>
      <c r="G321" t="str">
        <f>"02503550283"</f>
        <v>02503550283</v>
      </c>
      <c r="I321" t="s">
        <v>194</v>
      </c>
      <c r="L321" t="s">
        <v>45</v>
      </c>
      <c r="AJ321" s="1">
        <v>41638</v>
      </c>
    </row>
    <row r="322" spans="1:36" ht="15">
      <c r="A322" t="str">
        <f t="shared" si="15"/>
        <v>49591969FE</v>
      </c>
      <c r="B322" t="str">
        <f aca="true" t="shared" si="16" ref="B322:B385">"02406911202"</f>
        <v>02406911202</v>
      </c>
      <c r="C322" t="s">
        <v>13</v>
      </c>
      <c r="D322" t="s">
        <v>37</v>
      </c>
      <c r="E322" t="s">
        <v>181</v>
      </c>
      <c r="F322" t="s">
        <v>106</v>
      </c>
      <c r="G322" t="str">
        <f>"03237150234"</f>
        <v>03237150234</v>
      </c>
      <c r="I322" t="s">
        <v>195</v>
      </c>
      <c r="L322" t="s">
        <v>45</v>
      </c>
      <c r="AJ322" s="1">
        <v>41638</v>
      </c>
    </row>
    <row r="323" spans="1:36" ht="15">
      <c r="A323" t="str">
        <f t="shared" si="15"/>
        <v>49591969FE</v>
      </c>
      <c r="B323" t="str">
        <f t="shared" si="16"/>
        <v>02406911202</v>
      </c>
      <c r="C323" t="s">
        <v>13</v>
      </c>
      <c r="D323" t="s">
        <v>37</v>
      </c>
      <c r="E323" t="s">
        <v>181</v>
      </c>
      <c r="F323" t="s">
        <v>106</v>
      </c>
      <c r="G323" t="str">
        <f>"01501420853"</f>
        <v>01501420853</v>
      </c>
      <c r="I323" t="s">
        <v>196</v>
      </c>
      <c r="L323" t="s">
        <v>45</v>
      </c>
      <c r="AJ323" s="1">
        <v>41638</v>
      </c>
    </row>
    <row r="324" spans="1:36" ht="15">
      <c r="A324" t="str">
        <f t="shared" si="15"/>
        <v>49591969FE</v>
      </c>
      <c r="B324" t="str">
        <f t="shared" si="16"/>
        <v>02406911202</v>
      </c>
      <c r="C324" t="s">
        <v>13</v>
      </c>
      <c r="D324" t="s">
        <v>37</v>
      </c>
      <c r="E324" t="s">
        <v>181</v>
      </c>
      <c r="F324" t="s">
        <v>106</v>
      </c>
      <c r="G324" t="str">
        <f>"00939580080"</f>
        <v>00939580080</v>
      </c>
      <c r="I324" t="s">
        <v>197</v>
      </c>
      <c r="L324" t="s">
        <v>45</v>
      </c>
      <c r="AJ324" s="1">
        <v>41638</v>
      </c>
    </row>
    <row r="325" spans="1:36" ht="15">
      <c r="A325" t="str">
        <f t="shared" si="15"/>
        <v>49591969FE</v>
      </c>
      <c r="B325" t="str">
        <f t="shared" si="16"/>
        <v>02406911202</v>
      </c>
      <c r="C325" t="s">
        <v>13</v>
      </c>
      <c r="D325" t="s">
        <v>37</v>
      </c>
      <c r="E325" t="s">
        <v>181</v>
      </c>
      <c r="F325" t="s">
        <v>106</v>
      </c>
      <c r="G325" t="str">
        <f>"01585920208"</f>
        <v>01585920208</v>
      </c>
      <c r="I325" t="s">
        <v>198</v>
      </c>
      <c r="L325" t="s">
        <v>45</v>
      </c>
      <c r="AJ325" s="1">
        <v>41638</v>
      </c>
    </row>
    <row r="326" spans="1:36" ht="15">
      <c r="A326" t="str">
        <f t="shared" si="15"/>
        <v>49591969FE</v>
      </c>
      <c r="B326" t="str">
        <f t="shared" si="16"/>
        <v>02406911202</v>
      </c>
      <c r="C326" t="s">
        <v>13</v>
      </c>
      <c r="D326" t="s">
        <v>37</v>
      </c>
      <c r="E326" t="s">
        <v>181</v>
      </c>
      <c r="F326" t="s">
        <v>106</v>
      </c>
      <c r="G326" t="str">
        <f>"02401440157"</f>
        <v>02401440157</v>
      </c>
      <c r="I326" t="s">
        <v>199</v>
      </c>
      <c r="L326" t="s">
        <v>41</v>
      </c>
      <c r="M326">
        <v>30400</v>
      </c>
      <c r="AG326">
        <v>16051.5</v>
      </c>
      <c r="AH326" s="1">
        <v>41366</v>
      </c>
      <c r="AI326" s="1">
        <v>42826</v>
      </c>
      <c r="AJ326" s="1">
        <v>41638</v>
      </c>
    </row>
    <row r="327" spans="1:36" ht="15">
      <c r="A327" t="str">
        <f t="shared" si="15"/>
        <v>49591969FE</v>
      </c>
      <c r="B327" t="str">
        <f t="shared" si="16"/>
        <v>02406911202</v>
      </c>
      <c r="C327" t="s">
        <v>13</v>
      </c>
      <c r="D327" t="s">
        <v>37</v>
      </c>
      <c r="E327" t="s">
        <v>181</v>
      </c>
      <c r="F327" t="s">
        <v>106</v>
      </c>
      <c r="G327" t="str">
        <f>"01316780426"</f>
        <v>01316780426</v>
      </c>
      <c r="I327" t="s">
        <v>200</v>
      </c>
      <c r="L327" t="s">
        <v>45</v>
      </c>
      <c r="AJ327" s="1">
        <v>41638</v>
      </c>
    </row>
    <row r="328" spans="1:36" ht="15">
      <c r="A328" t="str">
        <f t="shared" si="15"/>
        <v>49591969FE</v>
      </c>
      <c r="B328" t="str">
        <f t="shared" si="16"/>
        <v>02406911202</v>
      </c>
      <c r="C328" t="s">
        <v>13</v>
      </c>
      <c r="D328" t="s">
        <v>37</v>
      </c>
      <c r="E328" t="s">
        <v>181</v>
      </c>
      <c r="F328" t="s">
        <v>106</v>
      </c>
      <c r="G328" t="str">
        <f>"02154270595"</f>
        <v>02154270595</v>
      </c>
      <c r="I328" t="s">
        <v>143</v>
      </c>
      <c r="L328" t="s">
        <v>45</v>
      </c>
      <c r="AJ328" s="1">
        <v>41638</v>
      </c>
    </row>
    <row r="329" spans="1:36" ht="15">
      <c r="A329" t="str">
        <f t="shared" si="15"/>
        <v>49591969FE</v>
      </c>
      <c r="B329" t="str">
        <f t="shared" si="16"/>
        <v>02406911202</v>
      </c>
      <c r="C329" t="s">
        <v>13</v>
      </c>
      <c r="D329" t="s">
        <v>37</v>
      </c>
      <c r="E329" t="s">
        <v>181</v>
      </c>
      <c r="F329" t="s">
        <v>106</v>
      </c>
      <c r="G329" t="str">
        <f>"03428610152"</f>
        <v>03428610152</v>
      </c>
      <c r="I329" t="s">
        <v>201</v>
      </c>
      <c r="L329" t="s">
        <v>45</v>
      </c>
      <c r="AJ329" s="1">
        <v>41638</v>
      </c>
    </row>
    <row r="330" spans="1:36" ht="15">
      <c r="A330" t="str">
        <f t="shared" si="15"/>
        <v>49591969FE</v>
      </c>
      <c r="B330" t="str">
        <f t="shared" si="16"/>
        <v>02406911202</v>
      </c>
      <c r="C330" t="s">
        <v>13</v>
      </c>
      <c r="D330" t="s">
        <v>37</v>
      </c>
      <c r="E330" t="s">
        <v>181</v>
      </c>
      <c r="F330" t="s">
        <v>106</v>
      </c>
      <c r="G330" t="str">
        <f>"02975440369"</f>
        <v>02975440369</v>
      </c>
      <c r="I330" t="s">
        <v>202</v>
      </c>
      <c r="L330" t="s">
        <v>45</v>
      </c>
      <c r="AJ330" s="1">
        <v>41638</v>
      </c>
    </row>
    <row r="331" spans="1:36" ht="15">
      <c r="A331" t="str">
        <f t="shared" si="15"/>
        <v>49591969FE</v>
      </c>
      <c r="B331" t="str">
        <f t="shared" si="16"/>
        <v>02406911202</v>
      </c>
      <c r="C331" t="s">
        <v>13</v>
      </c>
      <c r="D331" t="s">
        <v>37</v>
      </c>
      <c r="E331" t="s">
        <v>181</v>
      </c>
      <c r="F331" t="s">
        <v>106</v>
      </c>
      <c r="G331" t="str">
        <f>"02173550282"</f>
        <v>02173550282</v>
      </c>
      <c r="I331" t="s">
        <v>203</v>
      </c>
      <c r="L331" t="s">
        <v>45</v>
      </c>
      <c r="AJ331" s="1">
        <v>41638</v>
      </c>
    </row>
    <row r="332" spans="1:36" ht="15">
      <c r="A332" t="str">
        <f aca="true" t="shared" si="17" ref="A332:A356">"49592159AC"</f>
        <v>49592159AC</v>
      </c>
      <c r="B332" t="str">
        <f t="shared" si="16"/>
        <v>02406911202</v>
      </c>
      <c r="C332" t="s">
        <v>13</v>
      </c>
      <c r="D332" t="s">
        <v>37</v>
      </c>
      <c r="E332" t="s">
        <v>181</v>
      </c>
      <c r="F332" t="s">
        <v>106</v>
      </c>
      <c r="G332" t="str">
        <f>"02284760366"</f>
        <v>02284760366</v>
      </c>
      <c r="I332" t="s">
        <v>182</v>
      </c>
      <c r="L332" t="s">
        <v>45</v>
      </c>
      <c r="AJ332" s="1">
        <v>41638</v>
      </c>
    </row>
    <row r="333" spans="1:36" ht="15">
      <c r="A333" t="str">
        <f t="shared" si="17"/>
        <v>49592159AC</v>
      </c>
      <c r="B333" t="str">
        <f t="shared" si="16"/>
        <v>02406911202</v>
      </c>
      <c r="C333" t="s">
        <v>13</v>
      </c>
      <c r="D333" t="s">
        <v>37</v>
      </c>
      <c r="E333" t="s">
        <v>181</v>
      </c>
      <c r="F333" t="s">
        <v>106</v>
      </c>
      <c r="G333" t="str">
        <f>"00495451205"</f>
        <v>00495451205</v>
      </c>
      <c r="I333" t="s">
        <v>183</v>
      </c>
      <c r="L333" t="s">
        <v>45</v>
      </c>
      <c r="AJ333" s="1">
        <v>41638</v>
      </c>
    </row>
    <row r="334" spans="1:36" ht="15">
      <c r="A334" t="str">
        <f t="shared" si="17"/>
        <v>49592159AC</v>
      </c>
      <c r="B334" t="str">
        <f t="shared" si="16"/>
        <v>02406911202</v>
      </c>
      <c r="C334" t="s">
        <v>13</v>
      </c>
      <c r="D334" t="s">
        <v>37</v>
      </c>
      <c r="E334" t="s">
        <v>181</v>
      </c>
      <c r="F334" t="s">
        <v>106</v>
      </c>
      <c r="G334" t="str">
        <f>"02790240101"</f>
        <v>02790240101</v>
      </c>
      <c r="I334" t="s">
        <v>184</v>
      </c>
      <c r="L334" t="s">
        <v>45</v>
      </c>
      <c r="AJ334" s="1">
        <v>41638</v>
      </c>
    </row>
    <row r="335" spans="1:36" ht="15">
      <c r="A335" t="str">
        <f t="shared" si="17"/>
        <v>49592159AC</v>
      </c>
      <c r="B335" t="str">
        <f t="shared" si="16"/>
        <v>02406911202</v>
      </c>
      <c r="C335" t="s">
        <v>13</v>
      </c>
      <c r="D335" t="s">
        <v>37</v>
      </c>
      <c r="E335" t="s">
        <v>181</v>
      </c>
      <c r="F335" t="s">
        <v>106</v>
      </c>
      <c r="G335" t="str">
        <f>"03277950287"</f>
        <v>03277950287</v>
      </c>
      <c r="I335" t="s">
        <v>185</v>
      </c>
      <c r="L335" t="s">
        <v>45</v>
      </c>
      <c r="AJ335" s="1">
        <v>41638</v>
      </c>
    </row>
    <row r="336" spans="1:36" ht="15">
      <c r="A336" t="str">
        <f t="shared" si="17"/>
        <v>49592159AC</v>
      </c>
      <c r="B336" t="str">
        <f t="shared" si="16"/>
        <v>02406911202</v>
      </c>
      <c r="C336" t="s">
        <v>13</v>
      </c>
      <c r="D336" t="s">
        <v>37</v>
      </c>
      <c r="E336" t="s">
        <v>181</v>
      </c>
      <c r="F336" t="s">
        <v>106</v>
      </c>
      <c r="G336" t="str">
        <f>"08086280156"</f>
        <v>08086280156</v>
      </c>
      <c r="I336" t="s">
        <v>186</v>
      </c>
      <c r="L336" t="s">
        <v>45</v>
      </c>
      <c r="AJ336" s="1">
        <v>41638</v>
      </c>
    </row>
    <row r="337" spans="1:36" ht="15">
      <c r="A337" t="str">
        <f t="shared" si="17"/>
        <v>49592159AC</v>
      </c>
      <c r="B337" t="str">
        <f t="shared" si="16"/>
        <v>02406911202</v>
      </c>
      <c r="C337" t="s">
        <v>13</v>
      </c>
      <c r="D337" t="s">
        <v>37</v>
      </c>
      <c r="E337" t="s">
        <v>181</v>
      </c>
      <c r="F337" t="s">
        <v>106</v>
      </c>
      <c r="G337" t="str">
        <f>"02518990284"</f>
        <v>02518990284</v>
      </c>
      <c r="I337" t="s">
        <v>187</v>
      </c>
      <c r="L337" t="s">
        <v>45</v>
      </c>
      <c r="AJ337" s="1">
        <v>41638</v>
      </c>
    </row>
    <row r="338" spans="1:36" ht="15">
      <c r="A338" t="str">
        <f t="shared" si="17"/>
        <v>49592159AC</v>
      </c>
      <c r="B338" t="str">
        <f t="shared" si="16"/>
        <v>02406911202</v>
      </c>
      <c r="C338" t="s">
        <v>13</v>
      </c>
      <c r="D338" t="s">
        <v>37</v>
      </c>
      <c r="E338" t="s">
        <v>181</v>
      </c>
      <c r="F338" t="s">
        <v>106</v>
      </c>
      <c r="G338" t="str">
        <f>"00784230872"</f>
        <v>00784230872</v>
      </c>
      <c r="I338" t="s">
        <v>188</v>
      </c>
      <c r="L338" t="s">
        <v>45</v>
      </c>
      <c r="AJ338" s="1">
        <v>41638</v>
      </c>
    </row>
    <row r="339" spans="1:36" ht="15">
      <c r="A339" t="str">
        <f t="shared" si="17"/>
        <v>49592159AC</v>
      </c>
      <c r="B339" t="str">
        <f t="shared" si="16"/>
        <v>02406911202</v>
      </c>
      <c r="C339" t="s">
        <v>13</v>
      </c>
      <c r="D339" t="s">
        <v>37</v>
      </c>
      <c r="E339" t="s">
        <v>181</v>
      </c>
      <c r="F339" t="s">
        <v>106</v>
      </c>
      <c r="G339" t="str">
        <f>"08641790152"</f>
        <v>08641790152</v>
      </c>
      <c r="I339" t="s">
        <v>114</v>
      </c>
      <c r="L339" t="s">
        <v>45</v>
      </c>
      <c r="AJ339" s="1">
        <v>41638</v>
      </c>
    </row>
    <row r="340" spans="1:36" ht="15">
      <c r="A340" t="str">
        <f t="shared" si="17"/>
        <v>49592159AC</v>
      </c>
      <c r="B340" t="str">
        <f t="shared" si="16"/>
        <v>02406911202</v>
      </c>
      <c r="C340" t="s">
        <v>13</v>
      </c>
      <c r="D340" t="s">
        <v>37</v>
      </c>
      <c r="E340" t="s">
        <v>181</v>
      </c>
      <c r="F340" t="s">
        <v>106</v>
      </c>
      <c r="G340" t="str">
        <f>"06065650159"</f>
        <v>06065650159</v>
      </c>
      <c r="I340" t="s">
        <v>189</v>
      </c>
      <c r="L340" t="s">
        <v>45</v>
      </c>
      <c r="AJ340" s="1">
        <v>41638</v>
      </c>
    </row>
    <row r="341" spans="1:36" ht="15">
      <c r="A341" t="str">
        <f t="shared" si="17"/>
        <v>49592159AC</v>
      </c>
      <c r="B341" t="str">
        <f t="shared" si="16"/>
        <v>02406911202</v>
      </c>
      <c r="C341" t="s">
        <v>13</v>
      </c>
      <c r="D341" t="s">
        <v>37</v>
      </c>
      <c r="E341" t="s">
        <v>181</v>
      </c>
      <c r="F341" t="s">
        <v>106</v>
      </c>
      <c r="G341" t="str">
        <f>"05886861003"</f>
        <v>05886861003</v>
      </c>
      <c r="I341" t="s">
        <v>190</v>
      </c>
      <c r="L341" t="s">
        <v>45</v>
      </c>
      <c r="AJ341" s="1">
        <v>41638</v>
      </c>
    </row>
    <row r="342" spans="1:36" ht="15">
      <c r="A342" t="str">
        <f t="shared" si="17"/>
        <v>49592159AC</v>
      </c>
      <c r="B342" t="str">
        <f t="shared" si="16"/>
        <v>02406911202</v>
      </c>
      <c r="C342" t="s">
        <v>13</v>
      </c>
      <c r="D342" t="s">
        <v>37</v>
      </c>
      <c r="E342" t="s">
        <v>181</v>
      </c>
      <c r="F342" t="s">
        <v>106</v>
      </c>
      <c r="G342" t="str">
        <f>"01774010159"</f>
        <v>01774010159</v>
      </c>
      <c r="I342" t="s">
        <v>191</v>
      </c>
      <c r="L342" t="s">
        <v>45</v>
      </c>
      <c r="AJ342" s="1">
        <v>41638</v>
      </c>
    </row>
    <row r="343" spans="1:36" ht="15">
      <c r="A343" t="str">
        <f t="shared" si="17"/>
        <v>49592159AC</v>
      </c>
      <c r="B343" t="str">
        <f t="shared" si="16"/>
        <v>02406911202</v>
      </c>
      <c r="C343" t="s">
        <v>13</v>
      </c>
      <c r="D343" t="s">
        <v>37</v>
      </c>
      <c r="E343" t="s">
        <v>181</v>
      </c>
      <c r="F343" t="s">
        <v>106</v>
      </c>
      <c r="G343" t="str">
        <f>"00047510326"</f>
        <v>00047510326</v>
      </c>
      <c r="I343" t="s">
        <v>192</v>
      </c>
      <c r="L343" t="s">
        <v>45</v>
      </c>
      <c r="AJ343" s="1">
        <v>41638</v>
      </c>
    </row>
    <row r="344" spans="1:36" ht="15">
      <c r="A344" t="str">
        <f t="shared" si="17"/>
        <v>49592159AC</v>
      </c>
      <c r="B344" t="str">
        <f t="shared" si="16"/>
        <v>02406911202</v>
      </c>
      <c r="C344" t="s">
        <v>13</v>
      </c>
      <c r="D344" t="s">
        <v>37</v>
      </c>
      <c r="E344" t="s">
        <v>181</v>
      </c>
      <c r="F344" t="s">
        <v>106</v>
      </c>
      <c r="G344" t="str">
        <f>"01852100237"</f>
        <v>01852100237</v>
      </c>
      <c r="I344" t="s">
        <v>193</v>
      </c>
      <c r="L344" t="s">
        <v>45</v>
      </c>
      <c r="AJ344" s="1">
        <v>41638</v>
      </c>
    </row>
    <row r="345" spans="1:36" ht="15">
      <c r="A345" t="str">
        <f t="shared" si="17"/>
        <v>49592159AC</v>
      </c>
      <c r="B345" t="str">
        <f t="shared" si="16"/>
        <v>02406911202</v>
      </c>
      <c r="C345" t="s">
        <v>13</v>
      </c>
      <c r="D345" t="s">
        <v>37</v>
      </c>
      <c r="E345" t="s">
        <v>181</v>
      </c>
      <c r="F345" t="s">
        <v>106</v>
      </c>
      <c r="G345" t="str">
        <f>"00227080231"</f>
        <v>00227080231</v>
      </c>
      <c r="I345" t="s">
        <v>74</v>
      </c>
      <c r="L345" t="s">
        <v>45</v>
      </c>
      <c r="AJ345" s="1">
        <v>41638</v>
      </c>
    </row>
    <row r="346" spans="1:36" ht="15">
      <c r="A346" t="str">
        <f t="shared" si="17"/>
        <v>49592159AC</v>
      </c>
      <c r="B346" t="str">
        <f t="shared" si="16"/>
        <v>02406911202</v>
      </c>
      <c r="C346" t="s">
        <v>13</v>
      </c>
      <c r="D346" t="s">
        <v>37</v>
      </c>
      <c r="E346" t="s">
        <v>181</v>
      </c>
      <c r="F346" t="s">
        <v>106</v>
      </c>
      <c r="G346" t="str">
        <f>"02503550283"</f>
        <v>02503550283</v>
      </c>
      <c r="I346" t="s">
        <v>194</v>
      </c>
      <c r="L346" t="s">
        <v>45</v>
      </c>
      <c r="AJ346" s="1">
        <v>41638</v>
      </c>
    </row>
    <row r="347" spans="1:36" ht="15">
      <c r="A347" t="str">
        <f t="shared" si="17"/>
        <v>49592159AC</v>
      </c>
      <c r="B347" t="str">
        <f t="shared" si="16"/>
        <v>02406911202</v>
      </c>
      <c r="C347" t="s">
        <v>13</v>
      </c>
      <c r="D347" t="s">
        <v>37</v>
      </c>
      <c r="E347" t="s">
        <v>181</v>
      </c>
      <c r="F347" t="s">
        <v>106</v>
      </c>
      <c r="G347" t="str">
        <f>"03237150234"</f>
        <v>03237150234</v>
      </c>
      <c r="I347" t="s">
        <v>195</v>
      </c>
      <c r="L347" t="s">
        <v>45</v>
      </c>
      <c r="AJ347" s="1">
        <v>41638</v>
      </c>
    </row>
    <row r="348" spans="1:36" ht="15">
      <c r="A348" t="str">
        <f t="shared" si="17"/>
        <v>49592159AC</v>
      </c>
      <c r="B348" t="str">
        <f t="shared" si="16"/>
        <v>02406911202</v>
      </c>
      <c r="C348" t="s">
        <v>13</v>
      </c>
      <c r="D348" t="s">
        <v>37</v>
      </c>
      <c r="E348" t="s">
        <v>181</v>
      </c>
      <c r="F348" t="s">
        <v>106</v>
      </c>
      <c r="G348" t="str">
        <f>"01501420853"</f>
        <v>01501420853</v>
      </c>
      <c r="I348" t="s">
        <v>196</v>
      </c>
      <c r="L348" t="s">
        <v>45</v>
      </c>
      <c r="AJ348" s="1">
        <v>41638</v>
      </c>
    </row>
    <row r="349" spans="1:36" ht="15">
      <c r="A349" t="str">
        <f t="shared" si="17"/>
        <v>49592159AC</v>
      </c>
      <c r="B349" t="str">
        <f t="shared" si="16"/>
        <v>02406911202</v>
      </c>
      <c r="C349" t="s">
        <v>13</v>
      </c>
      <c r="D349" t="s">
        <v>37</v>
      </c>
      <c r="E349" t="s">
        <v>181</v>
      </c>
      <c r="F349" t="s">
        <v>106</v>
      </c>
      <c r="G349" t="str">
        <f>"00939580080"</f>
        <v>00939580080</v>
      </c>
      <c r="I349" t="s">
        <v>197</v>
      </c>
      <c r="L349" t="s">
        <v>45</v>
      </c>
      <c r="AJ349" s="1">
        <v>41638</v>
      </c>
    </row>
    <row r="350" spans="1:36" ht="15">
      <c r="A350" t="str">
        <f t="shared" si="17"/>
        <v>49592159AC</v>
      </c>
      <c r="B350" t="str">
        <f t="shared" si="16"/>
        <v>02406911202</v>
      </c>
      <c r="C350" t="s">
        <v>13</v>
      </c>
      <c r="D350" t="s">
        <v>37</v>
      </c>
      <c r="E350" t="s">
        <v>181</v>
      </c>
      <c r="F350" t="s">
        <v>106</v>
      </c>
      <c r="G350" t="str">
        <f>"01585920208"</f>
        <v>01585920208</v>
      </c>
      <c r="I350" t="s">
        <v>198</v>
      </c>
      <c r="L350" t="s">
        <v>45</v>
      </c>
      <c r="AJ350" s="1">
        <v>41638</v>
      </c>
    </row>
    <row r="351" spans="1:36" ht="15">
      <c r="A351" t="str">
        <f t="shared" si="17"/>
        <v>49592159AC</v>
      </c>
      <c r="B351" t="str">
        <f t="shared" si="16"/>
        <v>02406911202</v>
      </c>
      <c r="C351" t="s">
        <v>13</v>
      </c>
      <c r="D351" t="s">
        <v>37</v>
      </c>
      <c r="E351" t="s">
        <v>181</v>
      </c>
      <c r="F351" t="s">
        <v>106</v>
      </c>
      <c r="G351" t="str">
        <f>"02401440157"</f>
        <v>02401440157</v>
      </c>
      <c r="I351" t="s">
        <v>199</v>
      </c>
      <c r="L351" t="s">
        <v>45</v>
      </c>
      <c r="AJ351" s="1">
        <v>41638</v>
      </c>
    </row>
    <row r="352" spans="1:36" ht="15">
      <c r="A352" t="str">
        <f t="shared" si="17"/>
        <v>49592159AC</v>
      </c>
      <c r="B352" t="str">
        <f t="shared" si="16"/>
        <v>02406911202</v>
      </c>
      <c r="C352" t="s">
        <v>13</v>
      </c>
      <c r="D352" t="s">
        <v>37</v>
      </c>
      <c r="E352" t="s">
        <v>181</v>
      </c>
      <c r="F352" t="s">
        <v>106</v>
      </c>
      <c r="G352" t="str">
        <f>"01316780426"</f>
        <v>01316780426</v>
      </c>
      <c r="I352" t="s">
        <v>200</v>
      </c>
      <c r="L352" t="s">
        <v>41</v>
      </c>
      <c r="M352">
        <v>137758</v>
      </c>
      <c r="AG352">
        <v>157856.04</v>
      </c>
      <c r="AH352" s="1">
        <v>41366</v>
      </c>
      <c r="AI352" s="1">
        <v>42826</v>
      </c>
      <c r="AJ352" s="1">
        <v>41638</v>
      </c>
    </row>
    <row r="353" spans="1:36" ht="15">
      <c r="A353" t="str">
        <f t="shared" si="17"/>
        <v>49592159AC</v>
      </c>
      <c r="B353" t="str">
        <f t="shared" si="16"/>
        <v>02406911202</v>
      </c>
      <c r="C353" t="s">
        <v>13</v>
      </c>
      <c r="D353" t="s">
        <v>37</v>
      </c>
      <c r="E353" t="s">
        <v>181</v>
      </c>
      <c r="F353" t="s">
        <v>106</v>
      </c>
      <c r="G353" t="str">
        <f>"02154270595"</f>
        <v>02154270595</v>
      </c>
      <c r="I353" t="s">
        <v>143</v>
      </c>
      <c r="L353" t="s">
        <v>45</v>
      </c>
      <c r="AJ353" s="1">
        <v>41638</v>
      </c>
    </row>
    <row r="354" spans="1:36" ht="15">
      <c r="A354" t="str">
        <f t="shared" si="17"/>
        <v>49592159AC</v>
      </c>
      <c r="B354" t="str">
        <f t="shared" si="16"/>
        <v>02406911202</v>
      </c>
      <c r="C354" t="s">
        <v>13</v>
      </c>
      <c r="D354" t="s">
        <v>37</v>
      </c>
      <c r="E354" t="s">
        <v>181</v>
      </c>
      <c r="F354" t="s">
        <v>106</v>
      </c>
      <c r="G354" t="str">
        <f>"03428610152"</f>
        <v>03428610152</v>
      </c>
      <c r="I354" t="s">
        <v>201</v>
      </c>
      <c r="L354" t="s">
        <v>45</v>
      </c>
      <c r="AJ354" s="1">
        <v>41638</v>
      </c>
    </row>
    <row r="355" spans="1:36" ht="15">
      <c r="A355" t="str">
        <f t="shared" si="17"/>
        <v>49592159AC</v>
      </c>
      <c r="B355" t="str">
        <f t="shared" si="16"/>
        <v>02406911202</v>
      </c>
      <c r="C355" t="s">
        <v>13</v>
      </c>
      <c r="D355" t="s">
        <v>37</v>
      </c>
      <c r="E355" t="s">
        <v>181</v>
      </c>
      <c r="F355" t="s">
        <v>106</v>
      </c>
      <c r="G355" t="str">
        <f>"02975440369"</f>
        <v>02975440369</v>
      </c>
      <c r="I355" t="s">
        <v>202</v>
      </c>
      <c r="L355" t="s">
        <v>45</v>
      </c>
      <c r="AJ355" s="1">
        <v>41638</v>
      </c>
    </row>
    <row r="356" spans="1:36" ht="15">
      <c r="A356" t="str">
        <f t="shared" si="17"/>
        <v>49592159AC</v>
      </c>
      <c r="B356" t="str">
        <f t="shared" si="16"/>
        <v>02406911202</v>
      </c>
      <c r="C356" t="s">
        <v>13</v>
      </c>
      <c r="D356" t="s">
        <v>37</v>
      </c>
      <c r="E356" t="s">
        <v>181</v>
      </c>
      <c r="F356" t="s">
        <v>106</v>
      </c>
      <c r="G356" t="str">
        <f>"02173550282"</f>
        <v>02173550282</v>
      </c>
      <c r="I356" t="s">
        <v>203</v>
      </c>
      <c r="L356" t="s">
        <v>45</v>
      </c>
      <c r="AJ356" s="1">
        <v>41638</v>
      </c>
    </row>
    <row r="357" spans="1:36" ht="15">
      <c r="A357" t="str">
        <f aca="true" t="shared" si="18" ref="A357:A381">"4959257C54"</f>
        <v>4959257C54</v>
      </c>
      <c r="B357" t="str">
        <f t="shared" si="16"/>
        <v>02406911202</v>
      </c>
      <c r="C357" t="s">
        <v>13</v>
      </c>
      <c r="D357" t="s">
        <v>37</v>
      </c>
      <c r="E357" t="s">
        <v>181</v>
      </c>
      <c r="F357" t="s">
        <v>106</v>
      </c>
      <c r="G357" t="str">
        <f>"02284760366"</f>
        <v>02284760366</v>
      </c>
      <c r="I357" t="s">
        <v>182</v>
      </c>
      <c r="L357" t="s">
        <v>45</v>
      </c>
      <c r="AJ357" s="1">
        <v>41638</v>
      </c>
    </row>
    <row r="358" spans="1:36" ht="15">
      <c r="A358" t="str">
        <f t="shared" si="18"/>
        <v>4959257C54</v>
      </c>
      <c r="B358" t="str">
        <f t="shared" si="16"/>
        <v>02406911202</v>
      </c>
      <c r="C358" t="s">
        <v>13</v>
      </c>
      <c r="D358" t="s">
        <v>37</v>
      </c>
      <c r="E358" t="s">
        <v>181</v>
      </c>
      <c r="F358" t="s">
        <v>106</v>
      </c>
      <c r="G358" t="str">
        <f>"00495451205"</f>
        <v>00495451205</v>
      </c>
      <c r="I358" t="s">
        <v>183</v>
      </c>
      <c r="L358" t="s">
        <v>45</v>
      </c>
      <c r="AJ358" s="1">
        <v>41638</v>
      </c>
    </row>
    <row r="359" spans="1:36" ht="15">
      <c r="A359" t="str">
        <f t="shared" si="18"/>
        <v>4959257C54</v>
      </c>
      <c r="B359" t="str">
        <f t="shared" si="16"/>
        <v>02406911202</v>
      </c>
      <c r="C359" t="s">
        <v>13</v>
      </c>
      <c r="D359" t="s">
        <v>37</v>
      </c>
      <c r="E359" t="s">
        <v>181</v>
      </c>
      <c r="F359" t="s">
        <v>106</v>
      </c>
      <c r="G359" t="str">
        <f>"02790240101"</f>
        <v>02790240101</v>
      </c>
      <c r="I359" t="s">
        <v>184</v>
      </c>
      <c r="L359" t="s">
        <v>45</v>
      </c>
      <c r="AJ359" s="1">
        <v>41638</v>
      </c>
    </row>
    <row r="360" spans="1:36" ht="15">
      <c r="A360" t="str">
        <f t="shared" si="18"/>
        <v>4959257C54</v>
      </c>
      <c r="B360" t="str">
        <f t="shared" si="16"/>
        <v>02406911202</v>
      </c>
      <c r="C360" t="s">
        <v>13</v>
      </c>
      <c r="D360" t="s">
        <v>37</v>
      </c>
      <c r="E360" t="s">
        <v>181</v>
      </c>
      <c r="F360" t="s">
        <v>106</v>
      </c>
      <c r="G360" t="str">
        <f>"03277950287"</f>
        <v>03277950287</v>
      </c>
      <c r="I360" t="s">
        <v>185</v>
      </c>
      <c r="L360" t="s">
        <v>45</v>
      </c>
      <c r="AJ360" s="1">
        <v>41638</v>
      </c>
    </row>
    <row r="361" spans="1:36" ht="15">
      <c r="A361" t="str">
        <f t="shared" si="18"/>
        <v>4959257C54</v>
      </c>
      <c r="B361" t="str">
        <f t="shared" si="16"/>
        <v>02406911202</v>
      </c>
      <c r="C361" t="s">
        <v>13</v>
      </c>
      <c r="D361" t="s">
        <v>37</v>
      </c>
      <c r="E361" t="s">
        <v>181</v>
      </c>
      <c r="F361" t="s">
        <v>106</v>
      </c>
      <c r="G361" t="str">
        <f>"08086280156"</f>
        <v>08086280156</v>
      </c>
      <c r="I361" t="s">
        <v>186</v>
      </c>
      <c r="L361" t="s">
        <v>45</v>
      </c>
      <c r="AJ361" s="1">
        <v>41638</v>
      </c>
    </row>
    <row r="362" spans="1:36" ht="15">
      <c r="A362" t="str">
        <f t="shared" si="18"/>
        <v>4959257C54</v>
      </c>
      <c r="B362" t="str">
        <f t="shared" si="16"/>
        <v>02406911202</v>
      </c>
      <c r="C362" t="s">
        <v>13</v>
      </c>
      <c r="D362" t="s">
        <v>37</v>
      </c>
      <c r="E362" t="s">
        <v>181</v>
      </c>
      <c r="F362" t="s">
        <v>106</v>
      </c>
      <c r="G362" t="str">
        <f>"02518990284"</f>
        <v>02518990284</v>
      </c>
      <c r="I362" t="s">
        <v>187</v>
      </c>
      <c r="L362" t="s">
        <v>45</v>
      </c>
      <c r="AJ362" s="1">
        <v>41638</v>
      </c>
    </row>
    <row r="363" spans="1:36" ht="15">
      <c r="A363" t="str">
        <f t="shared" si="18"/>
        <v>4959257C54</v>
      </c>
      <c r="B363" t="str">
        <f t="shared" si="16"/>
        <v>02406911202</v>
      </c>
      <c r="C363" t="s">
        <v>13</v>
      </c>
      <c r="D363" t="s">
        <v>37</v>
      </c>
      <c r="E363" t="s">
        <v>181</v>
      </c>
      <c r="F363" t="s">
        <v>106</v>
      </c>
      <c r="G363" t="str">
        <f>"00784230872"</f>
        <v>00784230872</v>
      </c>
      <c r="I363" t="s">
        <v>188</v>
      </c>
      <c r="L363" t="s">
        <v>45</v>
      </c>
      <c r="AJ363" s="1">
        <v>41638</v>
      </c>
    </row>
    <row r="364" spans="1:36" ht="15">
      <c r="A364" t="str">
        <f t="shared" si="18"/>
        <v>4959257C54</v>
      </c>
      <c r="B364" t="str">
        <f t="shared" si="16"/>
        <v>02406911202</v>
      </c>
      <c r="C364" t="s">
        <v>13</v>
      </c>
      <c r="D364" t="s">
        <v>37</v>
      </c>
      <c r="E364" t="s">
        <v>181</v>
      </c>
      <c r="F364" t="s">
        <v>106</v>
      </c>
      <c r="G364" t="str">
        <f>"08641790152"</f>
        <v>08641790152</v>
      </c>
      <c r="I364" t="s">
        <v>114</v>
      </c>
      <c r="L364" t="s">
        <v>45</v>
      </c>
      <c r="AJ364" s="1">
        <v>41638</v>
      </c>
    </row>
    <row r="365" spans="1:36" ht="15">
      <c r="A365" t="str">
        <f t="shared" si="18"/>
        <v>4959257C54</v>
      </c>
      <c r="B365" t="str">
        <f t="shared" si="16"/>
        <v>02406911202</v>
      </c>
      <c r="C365" t="s">
        <v>13</v>
      </c>
      <c r="D365" t="s">
        <v>37</v>
      </c>
      <c r="E365" t="s">
        <v>181</v>
      </c>
      <c r="F365" t="s">
        <v>106</v>
      </c>
      <c r="G365" t="str">
        <f>"06065650159"</f>
        <v>06065650159</v>
      </c>
      <c r="I365" t="s">
        <v>189</v>
      </c>
      <c r="L365" t="s">
        <v>45</v>
      </c>
      <c r="AJ365" s="1">
        <v>41638</v>
      </c>
    </row>
    <row r="366" spans="1:36" ht="15">
      <c r="A366" t="str">
        <f t="shared" si="18"/>
        <v>4959257C54</v>
      </c>
      <c r="B366" t="str">
        <f t="shared" si="16"/>
        <v>02406911202</v>
      </c>
      <c r="C366" t="s">
        <v>13</v>
      </c>
      <c r="D366" t="s">
        <v>37</v>
      </c>
      <c r="E366" t="s">
        <v>181</v>
      </c>
      <c r="F366" t="s">
        <v>106</v>
      </c>
      <c r="G366" t="str">
        <f>"05886861003"</f>
        <v>05886861003</v>
      </c>
      <c r="I366" t="s">
        <v>190</v>
      </c>
      <c r="L366" t="s">
        <v>45</v>
      </c>
      <c r="AJ366" s="1">
        <v>41638</v>
      </c>
    </row>
    <row r="367" spans="1:36" ht="15">
      <c r="A367" t="str">
        <f t="shared" si="18"/>
        <v>4959257C54</v>
      </c>
      <c r="B367" t="str">
        <f t="shared" si="16"/>
        <v>02406911202</v>
      </c>
      <c r="C367" t="s">
        <v>13</v>
      </c>
      <c r="D367" t="s">
        <v>37</v>
      </c>
      <c r="E367" t="s">
        <v>181</v>
      </c>
      <c r="F367" t="s">
        <v>106</v>
      </c>
      <c r="G367" t="str">
        <f>"01774010159"</f>
        <v>01774010159</v>
      </c>
      <c r="I367" t="s">
        <v>191</v>
      </c>
      <c r="L367" t="s">
        <v>45</v>
      </c>
      <c r="AJ367" s="1">
        <v>41638</v>
      </c>
    </row>
    <row r="368" spans="1:36" ht="15">
      <c r="A368" t="str">
        <f t="shared" si="18"/>
        <v>4959257C54</v>
      </c>
      <c r="B368" t="str">
        <f t="shared" si="16"/>
        <v>02406911202</v>
      </c>
      <c r="C368" t="s">
        <v>13</v>
      </c>
      <c r="D368" t="s">
        <v>37</v>
      </c>
      <c r="E368" t="s">
        <v>181</v>
      </c>
      <c r="F368" t="s">
        <v>106</v>
      </c>
      <c r="G368" t="str">
        <f>"00047510326"</f>
        <v>00047510326</v>
      </c>
      <c r="I368" t="s">
        <v>192</v>
      </c>
      <c r="L368" t="s">
        <v>45</v>
      </c>
      <c r="AJ368" s="1">
        <v>41638</v>
      </c>
    </row>
    <row r="369" spans="1:36" ht="15">
      <c r="A369" t="str">
        <f t="shared" si="18"/>
        <v>4959257C54</v>
      </c>
      <c r="B369" t="str">
        <f t="shared" si="16"/>
        <v>02406911202</v>
      </c>
      <c r="C369" t="s">
        <v>13</v>
      </c>
      <c r="D369" t="s">
        <v>37</v>
      </c>
      <c r="E369" t="s">
        <v>181</v>
      </c>
      <c r="F369" t="s">
        <v>106</v>
      </c>
      <c r="G369" t="str">
        <f>"01852100237"</f>
        <v>01852100237</v>
      </c>
      <c r="I369" t="s">
        <v>193</v>
      </c>
      <c r="L369" t="s">
        <v>45</v>
      </c>
      <c r="AJ369" s="1">
        <v>41638</v>
      </c>
    </row>
    <row r="370" spans="1:36" ht="15">
      <c r="A370" t="str">
        <f t="shared" si="18"/>
        <v>4959257C54</v>
      </c>
      <c r="B370" t="str">
        <f t="shared" si="16"/>
        <v>02406911202</v>
      </c>
      <c r="C370" t="s">
        <v>13</v>
      </c>
      <c r="D370" t="s">
        <v>37</v>
      </c>
      <c r="E370" t="s">
        <v>181</v>
      </c>
      <c r="F370" t="s">
        <v>106</v>
      </c>
      <c r="G370" t="str">
        <f>"00227080231"</f>
        <v>00227080231</v>
      </c>
      <c r="I370" t="s">
        <v>74</v>
      </c>
      <c r="L370" t="s">
        <v>45</v>
      </c>
      <c r="AJ370" s="1">
        <v>41638</v>
      </c>
    </row>
    <row r="371" spans="1:36" ht="15">
      <c r="A371" t="str">
        <f t="shared" si="18"/>
        <v>4959257C54</v>
      </c>
      <c r="B371" t="str">
        <f t="shared" si="16"/>
        <v>02406911202</v>
      </c>
      <c r="C371" t="s">
        <v>13</v>
      </c>
      <c r="D371" t="s">
        <v>37</v>
      </c>
      <c r="E371" t="s">
        <v>181</v>
      </c>
      <c r="F371" t="s">
        <v>106</v>
      </c>
      <c r="G371" t="str">
        <f>"02503550283"</f>
        <v>02503550283</v>
      </c>
      <c r="I371" t="s">
        <v>194</v>
      </c>
      <c r="L371" t="s">
        <v>45</v>
      </c>
      <c r="AJ371" s="1">
        <v>41638</v>
      </c>
    </row>
    <row r="372" spans="1:36" ht="15">
      <c r="A372" t="str">
        <f t="shared" si="18"/>
        <v>4959257C54</v>
      </c>
      <c r="B372" t="str">
        <f t="shared" si="16"/>
        <v>02406911202</v>
      </c>
      <c r="C372" t="s">
        <v>13</v>
      </c>
      <c r="D372" t="s">
        <v>37</v>
      </c>
      <c r="E372" t="s">
        <v>181</v>
      </c>
      <c r="F372" t="s">
        <v>106</v>
      </c>
      <c r="G372" t="str">
        <f>"03237150234"</f>
        <v>03237150234</v>
      </c>
      <c r="I372" t="s">
        <v>195</v>
      </c>
      <c r="L372" t="s">
        <v>45</v>
      </c>
      <c r="AJ372" s="1">
        <v>41638</v>
      </c>
    </row>
    <row r="373" spans="1:36" ht="15">
      <c r="A373" t="str">
        <f t="shared" si="18"/>
        <v>4959257C54</v>
      </c>
      <c r="B373" t="str">
        <f t="shared" si="16"/>
        <v>02406911202</v>
      </c>
      <c r="C373" t="s">
        <v>13</v>
      </c>
      <c r="D373" t="s">
        <v>37</v>
      </c>
      <c r="E373" t="s">
        <v>181</v>
      </c>
      <c r="F373" t="s">
        <v>106</v>
      </c>
      <c r="G373" t="str">
        <f>"01501420853"</f>
        <v>01501420853</v>
      </c>
      <c r="I373" t="s">
        <v>196</v>
      </c>
      <c r="L373" t="s">
        <v>45</v>
      </c>
      <c r="AJ373" s="1">
        <v>41638</v>
      </c>
    </row>
    <row r="374" spans="1:36" ht="15">
      <c r="A374" t="str">
        <f t="shared" si="18"/>
        <v>4959257C54</v>
      </c>
      <c r="B374" t="str">
        <f t="shared" si="16"/>
        <v>02406911202</v>
      </c>
      <c r="C374" t="s">
        <v>13</v>
      </c>
      <c r="D374" t="s">
        <v>37</v>
      </c>
      <c r="E374" t="s">
        <v>181</v>
      </c>
      <c r="F374" t="s">
        <v>106</v>
      </c>
      <c r="G374" t="str">
        <f>"00939580080"</f>
        <v>00939580080</v>
      </c>
      <c r="I374" t="s">
        <v>197</v>
      </c>
      <c r="L374" t="s">
        <v>45</v>
      </c>
      <c r="AJ374" s="1">
        <v>41638</v>
      </c>
    </row>
    <row r="375" spans="1:36" ht="15">
      <c r="A375" t="str">
        <f t="shared" si="18"/>
        <v>4959257C54</v>
      </c>
      <c r="B375" t="str">
        <f t="shared" si="16"/>
        <v>02406911202</v>
      </c>
      <c r="C375" t="s">
        <v>13</v>
      </c>
      <c r="D375" t="s">
        <v>37</v>
      </c>
      <c r="E375" t="s">
        <v>181</v>
      </c>
      <c r="F375" t="s">
        <v>106</v>
      </c>
      <c r="G375" t="str">
        <f>"01585920208"</f>
        <v>01585920208</v>
      </c>
      <c r="I375" t="s">
        <v>198</v>
      </c>
      <c r="L375" t="s">
        <v>45</v>
      </c>
      <c r="AJ375" s="1">
        <v>41638</v>
      </c>
    </row>
    <row r="376" spans="1:36" ht="15">
      <c r="A376" t="str">
        <f t="shared" si="18"/>
        <v>4959257C54</v>
      </c>
      <c r="B376" t="str">
        <f t="shared" si="16"/>
        <v>02406911202</v>
      </c>
      <c r="C376" t="s">
        <v>13</v>
      </c>
      <c r="D376" t="s">
        <v>37</v>
      </c>
      <c r="E376" t="s">
        <v>181</v>
      </c>
      <c r="F376" t="s">
        <v>106</v>
      </c>
      <c r="G376" t="str">
        <f>"02401440157"</f>
        <v>02401440157</v>
      </c>
      <c r="I376" t="s">
        <v>199</v>
      </c>
      <c r="L376" t="s">
        <v>45</v>
      </c>
      <c r="AJ376" s="1">
        <v>41638</v>
      </c>
    </row>
    <row r="377" spans="1:36" ht="15">
      <c r="A377" t="str">
        <f t="shared" si="18"/>
        <v>4959257C54</v>
      </c>
      <c r="B377" t="str">
        <f t="shared" si="16"/>
        <v>02406911202</v>
      </c>
      <c r="C377" t="s">
        <v>13</v>
      </c>
      <c r="D377" t="s">
        <v>37</v>
      </c>
      <c r="E377" t="s">
        <v>181</v>
      </c>
      <c r="F377" t="s">
        <v>106</v>
      </c>
      <c r="G377" t="str">
        <f>"01316780426"</f>
        <v>01316780426</v>
      </c>
      <c r="I377" t="s">
        <v>200</v>
      </c>
      <c r="L377" t="s">
        <v>45</v>
      </c>
      <c r="AJ377" s="1">
        <v>41638</v>
      </c>
    </row>
    <row r="378" spans="1:36" ht="15">
      <c r="A378" t="str">
        <f t="shared" si="18"/>
        <v>4959257C54</v>
      </c>
      <c r="B378" t="str">
        <f t="shared" si="16"/>
        <v>02406911202</v>
      </c>
      <c r="C378" t="s">
        <v>13</v>
      </c>
      <c r="D378" t="s">
        <v>37</v>
      </c>
      <c r="E378" t="s">
        <v>181</v>
      </c>
      <c r="F378" t="s">
        <v>106</v>
      </c>
      <c r="G378" t="str">
        <f>"02154270595"</f>
        <v>02154270595</v>
      </c>
      <c r="I378" t="s">
        <v>143</v>
      </c>
      <c r="L378" t="s">
        <v>45</v>
      </c>
      <c r="AJ378" s="1">
        <v>41638</v>
      </c>
    </row>
    <row r="379" spans="1:36" ht="15">
      <c r="A379" t="str">
        <f t="shared" si="18"/>
        <v>4959257C54</v>
      </c>
      <c r="B379" t="str">
        <f t="shared" si="16"/>
        <v>02406911202</v>
      </c>
      <c r="C379" t="s">
        <v>13</v>
      </c>
      <c r="D379" t="s">
        <v>37</v>
      </c>
      <c r="E379" t="s">
        <v>181</v>
      </c>
      <c r="F379" t="s">
        <v>106</v>
      </c>
      <c r="G379" t="str">
        <f>"03428610152"</f>
        <v>03428610152</v>
      </c>
      <c r="I379" t="s">
        <v>201</v>
      </c>
      <c r="L379" t="s">
        <v>45</v>
      </c>
      <c r="AJ379" s="1">
        <v>41638</v>
      </c>
    </row>
    <row r="380" spans="1:36" ht="15">
      <c r="A380" t="str">
        <f t="shared" si="18"/>
        <v>4959257C54</v>
      </c>
      <c r="B380" t="str">
        <f t="shared" si="16"/>
        <v>02406911202</v>
      </c>
      <c r="C380" t="s">
        <v>13</v>
      </c>
      <c r="D380" t="s">
        <v>37</v>
      </c>
      <c r="E380" t="s">
        <v>181</v>
      </c>
      <c r="F380" t="s">
        <v>106</v>
      </c>
      <c r="G380" t="str">
        <f>"02975440369"</f>
        <v>02975440369</v>
      </c>
      <c r="I380" t="s">
        <v>202</v>
      </c>
      <c r="L380" t="s">
        <v>45</v>
      </c>
      <c r="AJ380" s="1">
        <v>41638</v>
      </c>
    </row>
    <row r="381" spans="1:36" ht="15">
      <c r="A381" t="str">
        <f t="shared" si="18"/>
        <v>4959257C54</v>
      </c>
      <c r="B381" t="str">
        <f t="shared" si="16"/>
        <v>02406911202</v>
      </c>
      <c r="C381" t="s">
        <v>13</v>
      </c>
      <c r="D381" t="s">
        <v>37</v>
      </c>
      <c r="E381" t="s">
        <v>181</v>
      </c>
      <c r="F381" t="s">
        <v>106</v>
      </c>
      <c r="G381" t="str">
        <f>"02173550282"</f>
        <v>02173550282</v>
      </c>
      <c r="I381" t="s">
        <v>203</v>
      </c>
      <c r="L381" t="s">
        <v>41</v>
      </c>
      <c r="M381">
        <v>1431</v>
      </c>
      <c r="AG381">
        <v>5102</v>
      </c>
      <c r="AH381" s="1">
        <v>41366</v>
      </c>
      <c r="AI381" s="1">
        <v>42826</v>
      </c>
      <c r="AJ381" s="1">
        <v>41638</v>
      </c>
    </row>
    <row r="382" spans="1:36" ht="15">
      <c r="A382" t="str">
        <f>"46923265E8"</f>
        <v>46923265E8</v>
      </c>
      <c r="B382" t="str">
        <f t="shared" si="16"/>
        <v>02406911202</v>
      </c>
      <c r="C382" t="s">
        <v>13</v>
      </c>
      <c r="D382" t="s">
        <v>37</v>
      </c>
      <c r="E382" t="s">
        <v>205</v>
      </c>
      <c r="F382" t="s">
        <v>89</v>
      </c>
      <c r="G382" t="str">
        <f>"00615700374"</f>
        <v>00615700374</v>
      </c>
      <c r="I382" t="s">
        <v>172</v>
      </c>
      <c r="L382" t="s">
        <v>45</v>
      </c>
      <c r="AJ382" s="1">
        <v>41638</v>
      </c>
    </row>
    <row r="383" spans="1:36" ht="15">
      <c r="A383" t="str">
        <f>"46923265E8"</f>
        <v>46923265E8</v>
      </c>
      <c r="B383" t="str">
        <f t="shared" si="16"/>
        <v>02406911202</v>
      </c>
      <c r="C383" t="s">
        <v>13</v>
      </c>
      <c r="D383" t="s">
        <v>37</v>
      </c>
      <c r="E383" t="s">
        <v>205</v>
      </c>
      <c r="F383" t="s">
        <v>89</v>
      </c>
      <c r="G383" t="str">
        <f>"03831290287"</f>
        <v>03831290287</v>
      </c>
      <c r="I383" t="s">
        <v>206</v>
      </c>
      <c r="L383" t="s">
        <v>45</v>
      </c>
      <c r="AJ383" s="1">
        <v>41638</v>
      </c>
    </row>
    <row r="384" spans="1:36" ht="15">
      <c r="A384" t="str">
        <f>"46923265E8"</f>
        <v>46923265E8</v>
      </c>
      <c r="B384" t="str">
        <f t="shared" si="16"/>
        <v>02406911202</v>
      </c>
      <c r="C384" t="s">
        <v>13</v>
      </c>
      <c r="D384" t="s">
        <v>37</v>
      </c>
      <c r="E384" t="s">
        <v>205</v>
      </c>
      <c r="F384" t="s">
        <v>89</v>
      </c>
      <c r="G384" t="str">
        <f>"07904840159"</f>
        <v>07904840159</v>
      </c>
      <c r="I384" t="s">
        <v>207</v>
      </c>
      <c r="L384" t="s">
        <v>45</v>
      </c>
      <c r="AJ384" s="1">
        <v>41638</v>
      </c>
    </row>
    <row r="385" spans="1:36" ht="15">
      <c r="A385" t="str">
        <f>"46923265E8"</f>
        <v>46923265E8</v>
      </c>
      <c r="B385" t="str">
        <f t="shared" si="16"/>
        <v>02406911202</v>
      </c>
      <c r="C385" t="s">
        <v>13</v>
      </c>
      <c r="D385" t="s">
        <v>37</v>
      </c>
      <c r="E385" t="s">
        <v>205</v>
      </c>
      <c r="F385" t="s">
        <v>89</v>
      </c>
      <c r="G385" t="str">
        <f>"00615480225"</f>
        <v>00615480225</v>
      </c>
      <c r="I385" t="s">
        <v>208</v>
      </c>
      <c r="L385" t="s">
        <v>41</v>
      </c>
      <c r="M385">
        <v>39543</v>
      </c>
      <c r="AG385">
        <v>39542.5</v>
      </c>
      <c r="AH385" s="1">
        <v>41366</v>
      </c>
      <c r="AI385" s="1">
        <v>41639</v>
      </c>
      <c r="AJ385" s="1">
        <v>41638</v>
      </c>
    </row>
    <row r="386" spans="1:36" ht="15">
      <c r="A386" t="str">
        <f>"46923265E8"</f>
        <v>46923265E8</v>
      </c>
      <c r="B386" t="str">
        <f aca="true" t="shared" si="19" ref="B386:B449">"02406911202"</f>
        <v>02406911202</v>
      </c>
      <c r="C386" t="s">
        <v>13</v>
      </c>
      <c r="D386" t="s">
        <v>37</v>
      </c>
      <c r="E386" t="s">
        <v>205</v>
      </c>
      <c r="F386" t="s">
        <v>89</v>
      </c>
      <c r="G386" t="str">
        <f>"00710060963"</f>
        <v>00710060963</v>
      </c>
      <c r="I386" t="s">
        <v>209</v>
      </c>
      <c r="L386" t="s">
        <v>45</v>
      </c>
      <c r="AJ386" s="1">
        <v>41638</v>
      </c>
    </row>
    <row r="387" spans="1:36" ht="15">
      <c r="A387" t="str">
        <f>"0472465273"</f>
        <v>0472465273</v>
      </c>
      <c r="B387" t="str">
        <f t="shared" si="19"/>
        <v>02406911202</v>
      </c>
      <c r="C387" t="s">
        <v>13</v>
      </c>
      <c r="D387" t="s">
        <v>37</v>
      </c>
      <c r="E387" t="s">
        <v>210</v>
      </c>
      <c r="F387" t="s">
        <v>86</v>
      </c>
      <c r="G387" t="str">
        <f>"08211250157"</f>
        <v>08211250157</v>
      </c>
      <c r="I387" t="s">
        <v>211</v>
      </c>
      <c r="L387" t="s">
        <v>41</v>
      </c>
      <c r="M387">
        <v>755078.4</v>
      </c>
      <c r="AG387">
        <v>755078.4</v>
      </c>
      <c r="AH387" s="1">
        <v>41275</v>
      </c>
      <c r="AI387" s="1">
        <v>43465</v>
      </c>
      <c r="AJ387" s="1">
        <v>41638</v>
      </c>
    </row>
    <row r="388" spans="1:36" ht="15">
      <c r="A388" t="str">
        <f>"495486324C"</f>
        <v>495486324C</v>
      </c>
      <c r="B388" t="str">
        <f t="shared" si="19"/>
        <v>02406911202</v>
      </c>
      <c r="C388" t="s">
        <v>13</v>
      </c>
      <c r="D388" t="s">
        <v>37</v>
      </c>
      <c r="E388" t="s">
        <v>212</v>
      </c>
      <c r="F388" t="s">
        <v>86</v>
      </c>
      <c r="G388" t="str">
        <f>"11636250158"</f>
        <v>11636250158</v>
      </c>
      <c r="I388" t="s">
        <v>213</v>
      </c>
      <c r="L388" t="s">
        <v>41</v>
      </c>
      <c r="M388">
        <v>140232</v>
      </c>
      <c r="AG388">
        <v>152880.42</v>
      </c>
      <c r="AH388" s="1">
        <v>41334</v>
      </c>
      <c r="AI388" s="1">
        <v>42063</v>
      </c>
      <c r="AJ388" s="1">
        <v>41638</v>
      </c>
    </row>
    <row r="389" spans="1:36" ht="15">
      <c r="A389" t="str">
        <f aca="true" t="shared" si="20" ref="A389:A399">"38179120A7"</f>
        <v>38179120A7</v>
      </c>
      <c r="B389" t="str">
        <f t="shared" si="19"/>
        <v>02406911202</v>
      </c>
      <c r="C389" t="s">
        <v>13</v>
      </c>
      <c r="D389" t="s">
        <v>37</v>
      </c>
      <c r="E389" t="s">
        <v>214</v>
      </c>
      <c r="F389" t="s">
        <v>43</v>
      </c>
      <c r="G389" t="str">
        <f>"01613430352"</f>
        <v>01613430352</v>
      </c>
      <c r="I389" t="s">
        <v>215</v>
      </c>
      <c r="L389" t="s">
        <v>45</v>
      </c>
      <c r="AJ389" s="1">
        <v>41638</v>
      </c>
    </row>
    <row r="390" spans="1:36" ht="15">
      <c r="A390" t="str">
        <f t="shared" si="20"/>
        <v>38179120A7</v>
      </c>
      <c r="B390" t="str">
        <f t="shared" si="19"/>
        <v>02406911202</v>
      </c>
      <c r="C390" t="s">
        <v>13</v>
      </c>
      <c r="D390" t="s">
        <v>37</v>
      </c>
      <c r="E390" t="s">
        <v>214</v>
      </c>
      <c r="F390" t="s">
        <v>43</v>
      </c>
      <c r="G390" t="str">
        <f>"04288560370"</f>
        <v>04288560370</v>
      </c>
      <c r="I390" t="s">
        <v>216</v>
      </c>
      <c r="J390" t="s">
        <v>217</v>
      </c>
      <c r="K390" t="s">
        <v>53</v>
      </c>
      <c r="AJ390" s="1">
        <v>41638</v>
      </c>
    </row>
    <row r="391" spans="1:36" ht="15">
      <c r="A391" t="str">
        <f t="shared" si="20"/>
        <v>38179120A7</v>
      </c>
      <c r="B391" t="str">
        <f t="shared" si="19"/>
        <v>02406911202</v>
      </c>
      <c r="C391" t="s">
        <v>13</v>
      </c>
      <c r="D391" t="s">
        <v>37</v>
      </c>
      <c r="E391" t="s">
        <v>214</v>
      </c>
      <c r="F391" t="s">
        <v>43</v>
      </c>
      <c r="G391" t="str">
        <f>"00672690377"</f>
        <v>00672690377</v>
      </c>
      <c r="I391" t="s">
        <v>218</v>
      </c>
      <c r="J391" t="s">
        <v>217</v>
      </c>
      <c r="K391" t="s">
        <v>51</v>
      </c>
      <c r="AJ391" s="1">
        <v>41638</v>
      </c>
    </row>
    <row r="392" spans="1:36" ht="15">
      <c r="A392" t="str">
        <f t="shared" si="20"/>
        <v>38179120A7</v>
      </c>
      <c r="B392" t="str">
        <f t="shared" si="19"/>
        <v>02406911202</v>
      </c>
      <c r="C392" t="s">
        <v>13</v>
      </c>
      <c r="D392" t="s">
        <v>37</v>
      </c>
      <c r="E392" t="s">
        <v>214</v>
      </c>
      <c r="F392" t="s">
        <v>43</v>
      </c>
      <c r="G392" t="str">
        <f>"03078531203"</f>
        <v>03078531203</v>
      </c>
      <c r="I392" t="s">
        <v>219</v>
      </c>
      <c r="J392" t="s">
        <v>217</v>
      </c>
      <c r="K392" t="s">
        <v>53</v>
      </c>
      <c r="AJ392" s="1">
        <v>41638</v>
      </c>
    </row>
    <row r="393" spans="1:36" ht="15">
      <c r="A393" t="str">
        <f t="shared" si="20"/>
        <v>38179120A7</v>
      </c>
      <c r="B393" t="str">
        <f t="shared" si="19"/>
        <v>02406911202</v>
      </c>
      <c r="C393" t="s">
        <v>13</v>
      </c>
      <c r="D393" t="s">
        <v>37</v>
      </c>
      <c r="E393" t="s">
        <v>214</v>
      </c>
      <c r="F393" t="s">
        <v>43</v>
      </c>
      <c r="G393" t="str">
        <f>"04144000371"</f>
        <v>04144000371</v>
      </c>
      <c r="I393" t="s">
        <v>220</v>
      </c>
      <c r="J393" t="s">
        <v>217</v>
      </c>
      <c r="K393" t="s">
        <v>53</v>
      </c>
      <c r="AJ393" s="1">
        <v>41638</v>
      </c>
    </row>
    <row r="394" spans="1:36" ht="15">
      <c r="A394" t="str">
        <f t="shared" si="20"/>
        <v>38179120A7</v>
      </c>
      <c r="B394" t="str">
        <f t="shared" si="19"/>
        <v>02406911202</v>
      </c>
      <c r="C394" t="s">
        <v>13</v>
      </c>
      <c r="D394" t="s">
        <v>37</v>
      </c>
      <c r="E394" t="s">
        <v>214</v>
      </c>
      <c r="F394" t="s">
        <v>43</v>
      </c>
      <c r="I394" t="s">
        <v>217</v>
      </c>
      <c r="L394" t="s">
        <v>41</v>
      </c>
      <c r="M394">
        <v>4129980</v>
      </c>
      <c r="AG394">
        <v>1851294.32</v>
      </c>
      <c r="AH394" s="1">
        <v>41365</v>
      </c>
      <c r="AI394" s="1">
        <v>42460</v>
      </c>
      <c r="AJ394" s="1">
        <v>41638</v>
      </c>
    </row>
    <row r="395" spans="1:36" ht="15">
      <c r="A395" t="str">
        <f t="shared" si="20"/>
        <v>38179120A7</v>
      </c>
      <c r="B395" t="str">
        <f t="shared" si="19"/>
        <v>02406911202</v>
      </c>
      <c r="C395" t="s">
        <v>13</v>
      </c>
      <c r="D395" t="s">
        <v>37</v>
      </c>
      <c r="E395" t="s">
        <v>214</v>
      </c>
      <c r="F395" t="s">
        <v>43</v>
      </c>
      <c r="G395" t="str">
        <f>"04201270370"</f>
        <v>04201270370</v>
      </c>
      <c r="I395" t="s">
        <v>221</v>
      </c>
      <c r="L395" t="s">
        <v>45</v>
      </c>
      <c r="AJ395" s="1">
        <v>41638</v>
      </c>
    </row>
    <row r="396" spans="1:36" ht="15">
      <c r="A396" t="str">
        <f t="shared" si="20"/>
        <v>38179120A7</v>
      </c>
      <c r="B396" t="str">
        <f t="shared" si="19"/>
        <v>02406911202</v>
      </c>
      <c r="C396" t="s">
        <v>13</v>
      </c>
      <c r="D396" t="s">
        <v>37</v>
      </c>
      <c r="E396" t="s">
        <v>214</v>
      </c>
      <c r="F396" t="s">
        <v>43</v>
      </c>
      <c r="G396" t="str">
        <f>"01818390302"</f>
        <v>01818390302</v>
      </c>
      <c r="I396" t="s">
        <v>222</v>
      </c>
      <c r="L396" t="s">
        <v>45</v>
      </c>
      <c r="AJ396" s="1">
        <v>41638</v>
      </c>
    </row>
    <row r="397" spans="1:36" ht="15">
      <c r="A397" t="str">
        <f t="shared" si="20"/>
        <v>38179120A7</v>
      </c>
      <c r="B397" t="str">
        <f t="shared" si="19"/>
        <v>02406911202</v>
      </c>
      <c r="C397" t="s">
        <v>13</v>
      </c>
      <c r="D397" t="s">
        <v>37</v>
      </c>
      <c r="E397" t="s">
        <v>214</v>
      </c>
      <c r="F397" t="s">
        <v>43</v>
      </c>
      <c r="G397" t="str">
        <f>"03144930405"</f>
        <v>03144930405</v>
      </c>
      <c r="I397" t="s">
        <v>223</v>
      </c>
      <c r="L397" t="s">
        <v>45</v>
      </c>
      <c r="AJ397" s="1">
        <v>41638</v>
      </c>
    </row>
    <row r="398" spans="1:36" ht="15">
      <c r="A398" t="str">
        <f t="shared" si="20"/>
        <v>38179120A7</v>
      </c>
      <c r="B398" t="str">
        <f t="shared" si="19"/>
        <v>02406911202</v>
      </c>
      <c r="C398" t="s">
        <v>13</v>
      </c>
      <c r="D398" t="s">
        <v>37</v>
      </c>
      <c r="E398" t="s">
        <v>214</v>
      </c>
      <c r="F398" t="s">
        <v>43</v>
      </c>
      <c r="G398" t="str">
        <f>"02312660364"</f>
        <v>02312660364</v>
      </c>
      <c r="I398" t="s">
        <v>224</v>
      </c>
      <c r="L398" t="s">
        <v>45</v>
      </c>
      <c r="AJ398" s="1">
        <v>41638</v>
      </c>
    </row>
    <row r="399" spans="1:36" ht="15">
      <c r="A399" t="str">
        <f t="shared" si="20"/>
        <v>38179120A7</v>
      </c>
      <c r="B399" t="str">
        <f t="shared" si="19"/>
        <v>02406911202</v>
      </c>
      <c r="C399" t="s">
        <v>13</v>
      </c>
      <c r="D399" t="s">
        <v>37</v>
      </c>
      <c r="E399" t="s">
        <v>214</v>
      </c>
      <c r="F399" t="s">
        <v>43</v>
      </c>
      <c r="G399" t="str">
        <f>"00599221207"</f>
        <v>00599221207</v>
      </c>
      <c r="I399" t="s">
        <v>225</v>
      </c>
      <c r="L399" t="s">
        <v>45</v>
      </c>
      <c r="AJ399" s="1">
        <v>41638</v>
      </c>
    </row>
    <row r="400" spans="1:36" ht="15">
      <c r="A400" t="str">
        <f>"Z5E08BD2CC"</f>
        <v>Z5E08BD2CC</v>
      </c>
      <c r="B400" t="str">
        <f t="shared" si="19"/>
        <v>02406911202</v>
      </c>
      <c r="C400" t="s">
        <v>13</v>
      </c>
      <c r="D400" t="s">
        <v>37</v>
      </c>
      <c r="E400" t="s">
        <v>226</v>
      </c>
      <c r="F400" t="s">
        <v>86</v>
      </c>
      <c r="G400" t="str">
        <f>"00100190610"</f>
        <v>00100190610</v>
      </c>
      <c r="I400" t="s">
        <v>227</v>
      </c>
      <c r="L400" t="s">
        <v>41</v>
      </c>
      <c r="M400">
        <v>23494</v>
      </c>
      <c r="AG400">
        <v>23493</v>
      </c>
      <c r="AH400" s="1">
        <v>41275</v>
      </c>
      <c r="AI400" s="1">
        <v>41639</v>
      </c>
      <c r="AJ400" s="1">
        <v>41638</v>
      </c>
    </row>
    <row r="401" spans="1:36" ht="15">
      <c r="A401" t="str">
        <f>"4945829334"</f>
        <v>4945829334</v>
      </c>
      <c r="B401" t="str">
        <f t="shared" si="19"/>
        <v>02406911202</v>
      </c>
      <c r="C401" t="s">
        <v>13</v>
      </c>
      <c r="D401" t="s">
        <v>37</v>
      </c>
      <c r="E401" t="s">
        <v>226</v>
      </c>
      <c r="F401" t="s">
        <v>86</v>
      </c>
      <c r="G401" t="str">
        <f>"02081881209"</f>
        <v>02081881209</v>
      </c>
      <c r="I401" t="s">
        <v>228</v>
      </c>
      <c r="L401" t="s">
        <v>41</v>
      </c>
      <c r="M401">
        <v>121200</v>
      </c>
      <c r="AG401">
        <v>75429.75</v>
      </c>
      <c r="AH401" s="1">
        <v>41275</v>
      </c>
      <c r="AI401" s="1">
        <v>41639</v>
      </c>
      <c r="AJ401" s="1">
        <v>41638</v>
      </c>
    </row>
    <row r="402" spans="1:36" ht="15">
      <c r="A402" t="str">
        <f>"ZEE08BD35F"</f>
        <v>ZEE08BD35F</v>
      </c>
      <c r="B402" t="str">
        <f t="shared" si="19"/>
        <v>02406911202</v>
      </c>
      <c r="C402" t="s">
        <v>13</v>
      </c>
      <c r="D402" t="s">
        <v>37</v>
      </c>
      <c r="E402" t="s">
        <v>226</v>
      </c>
      <c r="F402" t="s">
        <v>86</v>
      </c>
      <c r="G402" t="str">
        <f>"02023710995"</f>
        <v>02023710995</v>
      </c>
      <c r="I402" t="s">
        <v>229</v>
      </c>
      <c r="L402" t="s">
        <v>41</v>
      </c>
      <c r="M402">
        <v>25210</v>
      </c>
      <c r="AG402">
        <v>25210</v>
      </c>
      <c r="AH402" s="1">
        <v>41275</v>
      </c>
      <c r="AI402" s="1">
        <v>41639</v>
      </c>
      <c r="AJ402" s="1">
        <v>41638</v>
      </c>
    </row>
    <row r="403" spans="1:36" ht="15">
      <c r="A403" t="str">
        <f>"4945841D18"</f>
        <v>4945841D18</v>
      </c>
      <c r="B403" t="str">
        <f t="shared" si="19"/>
        <v>02406911202</v>
      </c>
      <c r="C403" t="s">
        <v>13</v>
      </c>
      <c r="D403" t="s">
        <v>37</v>
      </c>
      <c r="E403" t="s">
        <v>226</v>
      </c>
      <c r="F403" t="s">
        <v>86</v>
      </c>
      <c r="G403" t="str">
        <f>"00311430375"</f>
        <v>00311430375</v>
      </c>
      <c r="I403" t="s">
        <v>230</v>
      </c>
      <c r="L403" t="s">
        <v>41</v>
      </c>
      <c r="M403">
        <v>94832</v>
      </c>
      <c r="AG403">
        <v>94832</v>
      </c>
      <c r="AH403" s="1">
        <v>41275</v>
      </c>
      <c r="AI403" s="1">
        <v>41639</v>
      </c>
      <c r="AJ403" s="1">
        <v>41638</v>
      </c>
    </row>
    <row r="404" spans="1:36" ht="15">
      <c r="A404" t="str">
        <f>"Z5D08BD382"</f>
        <v>Z5D08BD382</v>
      </c>
      <c r="B404" t="str">
        <f t="shared" si="19"/>
        <v>02406911202</v>
      </c>
      <c r="C404" t="s">
        <v>13</v>
      </c>
      <c r="D404" t="s">
        <v>37</v>
      </c>
      <c r="E404" t="s">
        <v>226</v>
      </c>
      <c r="F404" t="s">
        <v>86</v>
      </c>
      <c r="G404" t="str">
        <f>"05994810488"</f>
        <v>05994810488</v>
      </c>
      <c r="I404" t="s">
        <v>231</v>
      </c>
      <c r="L404" t="s">
        <v>41</v>
      </c>
      <c r="M404">
        <v>34302</v>
      </c>
      <c r="AG404">
        <v>34301.62</v>
      </c>
      <c r="AH404" s="1">
        <v>41275</v>
      </c>
      <c r="AI404" s="1">
        <v>41639</v>
      </c>
      <c r="AJ404" s="1">
        <v>41638</v>
      </c>
    </row>
    <row r="405" spans="1:37" ht="15">
      <c r="A405" t="str">
        <f>"49094828B4"</f>
        <v>49094828B4</v>
      </c>
      <c r="B405" t="str">
        <f t="shared" si="19"/>
        <v>02406911202</v>
      </c>
      <c r="C405" t="s">
        <v>13</v>
      </c>
      <c r="D405" t="s">
        <v>37</v>
      </c>
      <c r="E405" t="s">
        <v>226</v>
      </c>
      <c r="F405" t="s">
        <v>86</v>
      </c>
      <c r="G405" t="str">
        <f>"01034230365"</f>
        <v>01034230365</v>
      </c>
      <c r="I405" t="s">
        <v>232</v>
      </c>
      <c r="L405" t="s">
        <v>41</v>
      </c>
      <c r="M405">
        <v>828479</v>
      </c>
      <c r="AG405">
        <v>950336</v>
      </c>
      <c r="AH405" s="1">
        <v>41275</v>
      </c>
      <c r="AI405" s="1">
        <v>41639</v>
      </c>
      <c r="AJ405" s="1">
        <v>41638</v>
      </c>
      <c r="AK405" t="s">
        <v>233</v>
      </c>
    </row>
    <row r="406" spans="1:36" ht="15">
      <c r="A406" t="str">
        <f>"494585155B"</f>
        <v>494585155B</v>
      </c>
      <c r="B406" t="str">
        <f t="shared" si="19"/>
        <v>02406911202</v>
      </c>
      <c r="C406" t="s">
        <v>13</v>
      </c>
      <c r="D406" t="s">
        <v>37</v>
      </c>
      <c r="E406" t="s">
        <v>234</v>
      </c>
      <c r="F406" t="s">
        <v>86</v>
      </c>
      <c r="G406" t="str">
        <f>"01814170047"</f>
        <v>01814170047</v>
      </c>
      <c r="I406" t="s">
        <v>235</v>
      </c>
      <c r="L406" t="s">
        <v>41</v>
      </c>
      <c r="M406">
        <v>62000</v>
      </c>
      <c r="AG406">
        <v>54200</v>
      </c>
      <c r="AH406" s="1">
        <v>41562</v>
      </c>
      <c r="AI406" s="1">
        <v>41639</v>
      </c>
      <c r="AJ406" s="1">
        <v>41638</v>
      </c>
    </row>
    <row r="407" spans="1:37" ht="15">
      <c r="A407" t="str">
        <f>"4909529F7B"</f>
        <v>4909529F7B</v>
      </c>
      <c r="B407" t="str">
        <f t="shared" si="19"/>
        <v>02406911202</v>
      </c>
      <c r="C407" t="s">
        <v>13</v>
      </c>
      <c r="D407" t="s">
        <v>37</v>
      </c>
      <c r="E407" t="s">
        <v>226</v>
      </c>
      <c r="F407" t="s">
        <v>86</v>
      </c>
      <c r="G407" t="str">
        <f>"00967720285"</f>
        <v>00967720285</v>
      </c>
      <c r="I407" t="s">
        <v>236</v>
      </c>
      <c r="L407" t="s">
        <v>41</v>
      </c>
      <c r="M407">
        <v>506860</v>
      </c>
      <c r="AG407">
        <v>569360</v>
      </c>
      <c r="AH407" s="1">
        <v>41275</v>
      </c>
      <c r="AI407" s="1">
        <v>41639</v>
      </c>
      <c r="AJ407" s="1">
        <v>41638</v>
      </c>
      <c r="AK407" t="s">
        <v>237</v>
      </c>
    </row>
    <row r="408" spans="1:36" ht="15">
      <c r="A408" t="str">
        <f>"49095901D6"</f>
        <v>49095901D6</v>
      </c>
      <c r="B408" t="str">
        <f t="shared" si="19"/>
        <v>02406911202</v>
      </c>
      <c r="C408" t="s">
        <v>13</v>
      </c>
      <c r="D408" t="s">
        <v>37</v>
      </c>
      <c r="E408" t="s">
        <v>226</v>
      </c>
      <c r="F408" t="s">
        <v>86</v>
      </c>
      <c r="G408" t="str">
        <f>"01944260221"</f>
        <v>01944260221</v>
      </c>
      <c r="I408" t="s">
        <v>238</v>
      </c>
      <c r="L408" t="s">
        <v>41</v>
      </c>
      <c r="M408">
        <v>508444</v>
      </c>
      <c r="AG408">
        <v>539168.51</v>
      </c>
      <c r="AH408" s="1">
        <v>41275</v>
      </c>
      <c r="AI408" s="1">
        <v>41639</v>
      </c>
      <c r="AJ408" s="1">
        <v>41638</v>
      </c>
    </row>
    <row r="409" spans="1:36" ht="15">
      <c r="A409" t="str">
        <f>"ZD208BD3AB"</f>
        <v>ZD208BD3AB</v>
      </c>
      <c r="B409" t="str">
        <f t="shared" si="19"/>
        <v>02406911202</v>
      </c>
      <c r="C409" t="s">
        <v>13</v>
      </c>
      <c r="D409" t="s">
        <v>37</v>
      </c>
      <c r="E409" t="s">
        <v>226</v>
      </c>
      <c r="F409" t="s">
        <v>86</v>
      </c>
      <c r="G409" t="str">
        <f>"05488960013"</f>
        <v>05488960013</v>
      </c>
      <c r="I409" t="s">
        <v>239</v>
      </c>
      <c r="L409" t="s">
        <v>41</v>
      </c>
      <c r="M409">
        <v>22516</v>
      </c>
      <c r="AG409">
        <v>6916</v>
      </c>
      <c r="AH409" s="1">
        <v>41275</v>
      </c>
      <c r="AI409" s="1">
        <v>41639</v>
      </c>
      <c r="AJ409" s="1">
        <v>41638</v>
      </c>
    </row>
    <row r="410" spans="1:36" ht="15">
      <c r="A410" t="str">
        <f>"Z5E08BD3C7"</f>
        <v>Z5E08BD3C7</v>
      </c>
      <c r="B410" t="str">
        <f t="shared" si="19"/>
        <v>02406911202</v>
      </c>
      <c r="C410" t="s">
        <v>13</v>
      </c>
      <c r="D410" t="s">
        <v>37</v>
      </c>
      <c r="E410" t="s">
        <v>226</v>
      </c>
      <c r="F410" t="s">
        <v>86</v>
      </c>
      <c r="G410" t="str">
        <f>"06566820152"</f>
        <v>06566820152</v>
      </c>
      <c r="I410" t="s">
        <v>240</v>
      </c>
      <c r="L410" t="s">
        <v>41</v>
      </c>
      <c r="M410">
        <v>26939</v>
      </c>
      <c r="AG410">
        <v>26939</v>
      </c>
      <c r="AH410" s="1">
        <v>41275</v>
      </c>
      <c r="AI410" s="1">
        <v>41639</v>
      </c>
      <c r="AJ410" s="1">
        <v>41638</v>
      </c>
    </row>
    <row r="411" spans="1:36" ht="15">
      <c r="A411" t="str">
        <f>"4945881E1A"</f>
        <v>4945881E1A</v>
      </c>
      <c r="B411" t="str">
        <f t="shared" si="19"/>
        <v>02406911202</v>
      </c>
      <c r="C411" t="s">
        <v>13</v>
      </c>
      <c r="D411" t="s">
        <v>37</v>
      </c>
      <c r="E411" t="s">
        <v>226</v>
      </c>
      <c r="F411" t="s">
        <v>86</v>
      </c>
      <c r="G411" t="str">
        <f>"01921940340"</f>
        <v>01921940340</v>
      </c>
      <c r="I411" t="s">
        <v>241</v>
      </c>
      <c r="L411" t="s">
        <v>41</v>
      </c>
      <c r="M411">
        <v>129825</v>
      </c>
      <c r="AG411">
        <v>129825</v>
      </c>
      <c r="AH411" s="1">
        <v>41275</v>
      </c>
      <c r="AI411" s="1">
        <v>41639</v>
      </c>
      <c r="AJ411" s="1">
        <v>41638</v>
      </c>
    </row>
    <row r="412" spans="1:36" ht="15">
      <c r="A412" t="str">
        <f>"49096145A3"</f>
        <v>49096145A3</v>
      </c>
      <c r="B412" t="str">
        <f t="shared" si="19"/>
        <v>02406911202</v>
      </c>
      <c r="C412" t="s">
        <v>13</v>
      </c>
      <c r="D412" t="s">
        <v>37</v>
      </c>
      <c r="E412" t="s">
        <v>226</v>
      </c>
      <c r="F412" t="s">
        <v>86</v>
      </c>
      <c r="G412" t="str">
        <f>"03741410371"</f>
        <v>03741410371</v>
      </c>
      <c r="I412" t="s">
        <v>242</v>
      </c>
      <c r="L412" t="s">
        <v>41</v>
      </c>
      <c r="M412">
        <v>181898</v>
      </c>
      <c r="AG412">
        <v>181898</v>
      </c>
      <c r="AH412" s="1">
        <v>41275</v>
      </c>
      <c r="AI412" s="1">
        <v>41639</v>
      </c>
      <c r="AJ412" s="1">
        <v>41638</v>
      </c>
    </row>
    <row r="413" spans="1:36" ht="15">
      <c r="A413" t="str">
        <f>"49096313AB"</f>
        <v>49096313AB</v>
      </c>
      <c r="B413" t="str">
        <f t="shared" si="19"/>
        <v>02406911202</v>
      </c>
      <c r="C413" t="s">
        <v>13</v>
      </c>
      <c r="D413" t="s">
        <v>37</v>
      </c>
      <c r="E413" t="s">
        <v>226</v>
      </c>
      <c r="F413" t="s">
        <v>86</v>
      </c>
      <c r="G413" t="str">
        <f>"04310690377"</f>
        <v>04310690377</v>
      </c>
      <c r="I413" t="s">
        <v>243</v>
      </c>
      <c r="L413" t="s">
        <v>41</v>
      </c>
      <c r="M413">
        <v>762644</v>
      </c>
      <c r="AG413">
        <v>894643.5</v>
      </c>
      <c r="AH413" s="1">
        <v>41275</v>
      </c>
      <c r="AI413" s="1">
        <v>41639</v>
      </c>
      <c r="AJ413" s="1">
        <v>41638</v>
      </c>
    </row>
    <row r="414" spans="1:36" ht="15">
      <c r="A414" t="str">
        <f>"4909667161"</f>
        <v>4909667161</v>
      </c>
      <c r="B414" t="str">
        <f t="shared" si="19"/>
        <v>02406911202</v>
      </c>
      <c r="C414" t="s">
        <v>13</v>
      </c>
      <c r="D414" t="s">
        <v>37</v>
      </c>
      <c r="E414" t="s">
        <v>226</v>
      </c>
      <c r="F414" t="s">
        <v>86</v>
      </c>
      <c r="G414" t="str">
        <f>"03100430408"</f>
        <v>03100430408</v>
      </c>
      <c r="I414" t="s">
        <v>244</v>
      </c>
      <c r="L414" t="s">
        <v>41</v>
      </c>
      <c r="M414">
        <v>182533</v>
      </c>
      <c r="AG414">
        <v>182533</v>
      </c>
      <c r="AH414" s="1">
        <v>41275</v>
      </c>
      <c r="AI414" s="1">
        <v>41639</v>
      </c>
      <c r="AJ414" s="1">
        <v>41638</v>
      </c>
    </row>
    <row r="415" spans="1:36" ht="15">
      <c r="A415" t="str">
        <f>"49459051EC"</f>
        <v>49459051EC</v>
      </c>
      <c r="B415" t="str">
        <f t="shared" si="19"/>
        <v>02406911202</v>
      </c>
      <c r="C415" t="s">
        <v>13</v>
      </c>
      <c r="D415" t="s">
        <v>37</v>
      </c>
      <c r="E415" t="s">
        <v>226</v>
      </c>
      <c r="F415" t="s">
        <v>86</v>
      </c>
      <c r="G415" t="str">
        <f>"12378150150"</f>
        <v>12378150150</v>
      </c>
      <c r="I415" t="s">
        <v>245</v>
      </c>
      <c r="L415" t="s">
        <v>41</v>
      </c>
      <c r="M415">
        <v>56514</v>
      </c>
      <c r="AG415">
        <v>76014.5</v>
      </c>
      <c r="AH415" s="1">
        <v>41275</v>
      </c>
      <c r="AI415" s="1">
        <v>41639</v>
      </c>
      <c r="AJ415" s="1">
        <v>41638</v>
      </c>
    </row>
    <row r="416" spans="1:36" ht="15">
      <c r="A416" t="str">
        <f>"494593068C"</f>
        <v>494593068C</v>
      </c>
      <c r="B416" t="str">
        <f t="shared" si="19"/>
        <v>02406911202</v>
      </c>
      <c r="C416" t="s">
        <v>13</v>
      </c>
      <c r="D416" t="s">
        <v>37</v>
      </c>
      <c r="E416" t="s">
        <v>226</v>
      </c>
      <c r="F416" t="s">
        <v>86</v>
      </c>
      <c r="G416" t="str">
        <f>"01647890209"</f>
        <v>01647890209</v>
      </c>
      <c r="I416" t="s">
        <v>246</v>
      </c>
      <c r="L416" t="s">
        <v>41</v>
      </c>
      <c r="M416">
        <v>208095</v>
      </c>
      <c r="AG416">
        <v>64361</v>
      </c>
      <c r="AH416" s="1">
        <v>41275</v>
      </c>
      <c r="AI416" s="1">
        <v>41639</v>
      </c>
      <c r="AJ416" s="1">
        <v>41638</v>
      </c>
    </row>
    <row r="417" spans="1:36" ht="15">
      <c r="A417" t="str">
        <f>"490969152E"</f>
        <v>490969152E</v>
      </c>
      <c r="B417" t="str">
        <f t="shared" si="19"/>
        <v>02406911202</v>
      </c>
      <c r="C417" t="s">
        <v>13</v>
      </c>
      <c r="D417" t="s">
        <v>37</v>
      </c>
      <c r="E417" t="s">
        <v>226</v>
      </c>
      <c r="F417" t="s">
        <v>86</v>
      </c>
      <c r="G417" t="str">
        <f>"01818301200"</f>
        <v>01818301200</v>
      </c>
      <c r="I417" t="s">
        <v>247</v>
      </c>
      <c r="L417" t="s">
        <v>41</v>
      </c>
      <c r="M417">
        <v>219981</v>
      </c>
      <c r="AG417">
        <v>180032.39</v>
      </c>
      <c r="AH417" s="1">
        <v>41275</v>
      </c>
      <c r="AI417" s="1">
        <v>41639</v>
      </c>
      <c r="AJ417" s="1">
        <v>41638</v>
      </c>
    </row>
    <row r="418" spans="1:36" ht="15">
      <c r="A418" t="str">
        <f>"Z0708BD3DC"</f>
        <v>Z0708BD3DC</v>
      </c>
      <c r="B418" t="str">
        <f t="shared" si="19"/>
        <v>02406911202</v>
      </c>
      <c r="C418" t="s">
        <v>13</v>
      </c>
      <c r="D418" t="s">
        <v>37</v>
      </c>
      <c r="E418" t="s">
        <v>226</v>
      </c>
      <c r="F418" t="s">
        <v>86</v>
      </c>
      <c r="G418" t="str">
        <f>"00488410010"</f>
        <v>00488410010</v>
      </c>
      <c r="I418" t="s">
        <v>248</v>
      </c>
      <c r="L418" t="s">
        <v>41</v>
      </c>
      <c r="M418">
        <v>27000</v>
      </c>
      <c r="AG418">
        <v>27000</v>
      </c>
      <c r="AH418" s="1">
        <v>41275</v>
      </c>
      <c r="AI418" s="1">
        <v>41639</v>
      </c>
      <c r="AJ418" s="1">
        <v>41638</v>
      </c>
    </row>
    <row r="419" spans="1:36" ht="15">
      <c r="A419" t="str">
        <f>"Z5808BD41F"</f>
        <v>Z5808BD41F</v>
      </c>
      <c r="B419" t="str">
        <f t="shared" si="19"/>
        <v>02406911202</v>
      </c>
      <c r="C419" t="s">
        <v>13</v>
      </c>
      <c r="D419" t="s">
        <v>37</v>
      </c>
      <c r="E419" t="s">
        <v>226</v>
      </c>
      <c r="F419" t="s">
        <v>86</v>
      </c>
      <c r="G419" t="str">
        <f>"02303440487"</f>
        <v>02303440487</v>
      </c>
      <c r="I419" t="s">
        <v>249</v>
      </c>
      <c r="L419" t="s">
        <v>41</v>
      </c>
      <c r="M419">
        <v>36900</v>
      </c>
      <c r="AG419">
        <v>36900</v>
      </c>
      <c r="AH419" s="1">
        <v>41275</v>
      </c>
      <c r="AI419" s="1">
        <v>41639</v>
      </c>
      <c r="AJ419" s="1">
        <v>41638</v>
      </c>
    </row>
    <row r="420" spans="1:36" ht="15">
      <c r="A420" t="str">
        <f>"4909708336"</f>
        <v>4909708336</v>
      </c>
      <c r="B420" t="str">
        <f t="shared" si="19"/>
        <v>02406911202</v>
      </c>
      <c r="C420" t="s">
        <v>13</v>
      </c>
      <c r="D420" t="s">
        <v>37</v>
      </c>
      <c r="E420" t="s">
        <v>226</v>
      </c>
      <c r="F420" t="s">
        <v>86</v>
      </c>
      <c r="G420" t="str">
        <f>"02986820237"</f>
        <v>02986820237</v>
      </c>
      <c r="I420" t="s">
        <v>250</v>
      </c>
      <c r="L420" t="s">
        <v>41</v>
      </c>
      <c r="M420">
        <v>160604</v>
      </c>
      <c r="AG420">
        <v>160604</v>
      </c>
      <c r="AH420" s="1">
        <v>41275</v>
      </c>
      <c r="AI420" s="1">
        <v>41639</v>
      </c>
      <c r="AJ420" s="1">
        <v>41638</v>
      </c>
    </row>
    <row r="421" spans="1:36" ht="15">
      <c r="A421" t="str">
        <f>"ZD408D9F11"</f>
        <v>ZD408D9F11</v>
      </c>
      <c r="B421" t="str">
        <f t="shared" si="19"/>
        <v>02406911202</v>
      </c>
      <c r="C421" t="s">
        <v>13</v>
      </c>
      <c r="D421" t="s">
        <v>37</v>
      </c>
      <c r="E421" t="s">
        <v>251</v>
      </c>
      <c r="F421" t="s">
        <v>39</v>
      </c>
      <c r="G421" t="str">
        <f>"10784350158"</f>
        <v>10784350158</v>
      </c>
      <c r="I421" t="s">
        <v>104</v>
      </c>
      <c r="L421" t="s">
        <v>41</v>
      </c>
      <c r="M421">
        <v>19909</v>
      </c>
      <c r="AG421">
        <v>19908.5</v>
      </c>
      <c r="AH421" s="1">
        <v>41332</v>
      </c>
      <c r="AI421" s="1">
        <v>41639</v>
      </c>
      <c r="AJ421" s="1">
        <v>41638</v>
      </c>
    </row>
    <row r="422" spans="1:36" ht="15">
      <c r="A422" t="str">
        <f>"49666408FA"</f>
        <v>49666408FA</v>
      </c>
      <c r="B422" t="str">
        <f t="shared" si="19"/>
        <v>02406911202</v>
      </c>
      <c r="C422" t="s">
        <v>13</v>
      </c>
      <c r="D422" t="s">
        <v>37</v>
      </c>
      <c r="E422" t="s">
        <v>252</v>
      </c>
      <c r="F422" t="s">
        <v>89</v>
      </c>
      <c r="G422" t="str">
        <f>"09699320017"</f>
        <v>09699320017</v>
      </c>
      <c r="I422" t="s">
        <v>253</v>
      </c>
      <c r="L422" t="s">
        <v>41</v>
      </c>
      <c r="M422">
        <v>38000</v>
      </c>
      <c r="AG422">
        <v>57950</v>
      </c>
      <c r="AH422" s="1">
        <v>41369</v>
      </c>
      <c r="AI422" s="1">
        <v>42098</v>
      </c>
      <c r="AJ422" s="1">
        <v>41638</v>
      </c>
    </row>
    <row r="423" spans="1:36" ht="15">
      <c r="A423" t="str">
        <f>"49666408FA"</f>
        <v>49666408FA</v>
      </c>
      <c r="B423" t="str">
        <f t="shared" si="19"/>
        <v>02406911202</v>
      </c>
      <c r="C423" t="s">
        <v>13</v>
      </c>
      <c r="D423" t="s">
        <v>37</v>
      </c>
      <c r="E423" t="s">
        <v>252</v>
      </c>
      <c r="F423" t="s">
        <v>89</v>
      </c>
      <c r="G423" t="str">
        <f>"00868480153"</f>
        <v>00868480153</v>
      </c>
      <c r="I423" t="s">
        <v>254</v>
      </c>
      <c r="L423" t="s">
        <v>45</v>
      </c>
      <c r="AJ423" s="1">
        <v>41638</v>
      </c>
    </row>
    <row r="424" spans="1:36" ht="15">
      <c r="A424" t="str">
        <f>"49666408FA"</f>
        <v>49666408FA</v>
      </c>
      <c r="B424" t="str">
        <f t="shared" si="19"/>
        <v>02406911202</v>
      </c>
      <c r="C424" t="s">
        <v>13</v>
      </c>
      <c r="D424" t="s">
        <v>37</v>
      </c>
      <c r="E424" t="s">
        <v>252</v>
      </c>
      <c r="F424" t="s">
        <v>89</v>
      </c>
      <c r="G424" t="str">
        <f>"11206730159"</f>
        <v>11206730159</v>
      </c>
      <c r="I424" t="s">
        <v>255</v>
      </c>
      <c r="L424" t="s">
        <v>45</v>
      </c>
      <c r="AJ424" s="1">
        <v>41638</v>
      </c>
    </row>
    <row r="425" spans="1:36" ht="15">
      <c r="A425" t="str">
        <f>"49666408FA"</f>
        <v>49666408FA</v>
      </c>
      <c r="B425" t="str">
        <f t="shared" si="19"/>
        <v>02406911202</v>
      </c>
      <c r="C425" t="s">
        <v>13</v>
      </c>
      <c r="D425" t="s">
        <v>37</v>
      </c>
      <c r="E425" t="s">
        <v>252</v>
      </c>
      <c r="F425" t="s">
        <v>89</v>
      </c>
      <c r="G425" t="str">
        <f>"04094700376"</f>
        <v>04094700376</v>
      </c>
      <c r="I425" t="s">
        <v>256</v>
      </c>
      <c r="L425" t="s">
        <v>45</v>
      </c>
      <c r="AJ425" s="1">
        <v>41638</v>
      </c>
    </row>
    <row r="426" spans="1:36" ht="15">
      <c r="A426" t="str">
        <f>"49666408FA"</f>
        <v>49666408FA</v>
      </c>
      <c r="B426" t="str">
        <f t="shared" si="19"/>
        <v>02406911202</v>
      </c>
      <c r="C426" t="s">
        <v>13</v>
      </c>
      <c r="D426" t="s">
        <v>37</v>
      </c>
      <c r="E426" t="s">
        <v>252</v>
      </c>
      <c r="F426" t="s">
        <v>89</v>
      </c>
      <c r="G426" t="str">
        <f>"09238800156"</f>
        <v>09238800156</v>
      </c>
      <c r="I426" t="s">
        <v>257</v>
      </c>
      <c r="L426" t="s">
        <v>45</v>
      </c>
      <c r="AJ426" s="1">
        <v>41638</v>
      </c>
    </row>
    <row r="427" spans="1:36" ht="15">
      <c r="A427" t="str">
        <f aca="true" t="shared" si="21" ref="A427:A433">"488053373C"</f>
        <v>488053373C</v>
      </c>
      <c r="B427" t="str">
        <f t="shared" si="19"/>
        <v>02406911202</v>
      </c>
      <c r="C427" t="s">
        <v>13</v>
      </c>
      <c r="D427" t="s">
        <v>37</v>
      </c>
      <c r="E427" t="s">
        <v>258</v>
      </c>
      <c r="F427" t="s">
        <v>89</v>
      </c>
      <c r="G427" t="str">
        <f>"00152680203"</f>
        <v>00152680203</v>
      </c>
      <c r="I427" t="s">
        <v>259</v>
      </c>
      <c r="L427" t="s">
        <v>41</v>
      </c>
      <c r="M427">
        <v>164806</v>
      </c>
      <c r="AG427">
        <v>168794.01</v>
      </c>
      <c r="AH427" s="1">
        <v>41379</v>
      </c>
      <c r="AI427" s="1">
        <v>42474</v>
      </c>
      <c r="AJ427" s="1">
        <v>41638</v>
      </c>
    </row>
    <row r="428" spans="1:36" ht="15">
      <c r="A428" t="str">
        <f t="shared" si="21"/>
        <v>488053373C</v>
      </c>
      <c r="B428" t="str">
        <f t="shared" si="19"/>
        <v>02406911202</v>
      </c>
      <c r="C428" t="s">
        <v>13</v>
      </c>
      <c r="D428" t="s">
        <v>37</v>
      </c>
      <c r="E428" t="s">
        <v>258</v>
      </c>
      <c r="F428" t="s">
        <v>89</v>
      </c>
      <c r="G428" t="str">
        <f>"00801720152"</f>
        <v>00801720152</v>
      </c>
      <c r="I428" t="s">
        <v>260</v>
      </c>
      <c r="L428" t="s">
        <v>45</v>
      </c>
      <c r="AJ428" s="1">
        <v>41638</v>
      </c>
    </row>
    <row r="429" spans="1:36" ht="15">
      <c r="A429" t="str">
        <f t="shared" si="21"/>
        <v>488053373C</v>
      </c>
      <c r="B429" t="str">
        <f t="shared" si="19"/>
        <v>02406911202</v>
      </c>
      <c r="C429" t="s">
        <v>13</v>
      </c>
      <c r="D429" t="s">
        <v>37</v>
      </c>
      <c r="E429" t="s">
        <v>258</v>
      </c>
      <c r="F429" t="s">
        <v>89</v>
      </c>
      <c r="G429" t="str">
        <f>"10202040159"</f>
        <v>10202040159</v>
      </c>
      <c r="I429" t="s">
        <v>261</v>
      </c>
      <c r="L429" t="s">
        <v>45</v>
      </c>
      <c r="AJ429" s="1">
        <v>41638</v>
      </c>
    </row>
    <row r="430" spans="1:36" ht="15">
      <c r="A430" t="str">
        <f t="shared" si="21"/>
        <v>488053373C</v>
      </c>
      <c r="B430" t="str">
        <f t="shared" si="19"/>
        <v>02406911202</v>
      </c>
      <c r="C430" t="s">
        <v>13</v>
      </c>
      <c r="D430" t="s">
        <v>37</v>
      </c>
      <c r="E430" t="s">
        <v>258</v>
      </c>
      <c r="F430" t="s">
        <v>89</v>
      </c>
      <c r="G430" t="str">
        <f>"92015900589"</f>
        <v>92015900589</v>
      </c>
      <c r="I430" t="s">
        <v>262</v>
      </c>
      <c r="L430" t="s">
        <v>45</v>
      </c>
      <c r="AJ430" s="1">
        <v>41638</v>
      </c>
    </row>
    <row r="431" spans="1:36" ht="15">
      <c r="A431" t="str">
        <f t="shared" si="21"/>
        <v>488053373C</v>
      </c>
      <c r="B431" t="str">
        <f t="shared" si="19"/>
        <v>02406911202</v>
      </c>
      <c r="C431" t="s">
        <v>13</v>
      </c>
      <c r="D431" t="s">
        <v>37</v>
      </c>
      <c r="E431" t="s">
        <v>258</v>
      </c>
      <c r="F431" t="s">
        <v>89</v>
      </c>
      <c r="G431" t="str">
        <f>"00941660151"</f>
        <v>00941660151</v>
      </c>
      <c r="I431" t="s">
        <v>263</v>
      </c>
      <c r="L431" t="s">
        <v>45</v>
      </c>
      <c r="AJ431" s="1">
        <v>41638</v>
      </c>
    </row>
    <row r="432" spans="1:36" ht="15">
      <c r="A432" t="str">
        <f t="shared" si="21"/>
        <v>488053373C</v>
      </c>
      <c r="B432" t="str">
        <f t="shared" si="19"/>
        <v>02406911202</v>
      </c>
      <c r="C432" t="s">
        <v>13</v>
      </c>
      <c r="D432" t="s">
        <v>37</v>
      </c>
      <c r="E432" t="s">
        <v>258</v>
      </c>
      <c r="F432" t="s">
        <v>89</v>
      </c>
      <c r="G432" t="str">
        <f>"03096560010"</f>
        <v>03096560010</v>
      </c>
      <c r="I432" t="s">
        <v>264</v>
      </c>
      <c r="L432" t="s">
        <v>45</v>
      </c>
      <c r="AJ432" s="1">
        <v>41638</v>
      </c>
    </row>
    <row r="433" spans="1:36" ht="15">
      <c r="A433" t="str">
        <f t="shared" si="21"/>
        <v>488053373C</v>
      </c>
      <c r="B433" t="str">
        <f t="shared" si="19"/>
        <v>02406911202</v>
      </c>
      <c r="C433" t="s">
        <v>13</v>
      </c>
      <c r="D433" t="s">
        <v>37</v>
      </c>
      <c r="E433" t="s">
        <v>258</v>
      </c>
      <c r="F433" t="s">
        <v>89</v>
      </c>
      <c r="G433" t="str">
        <f>"10181220152"</f>
        <v>10181220152</v>
      </c>
      <c r="I433" t="s">
        <v>265</v>
      </c>
      <c r="L433" t="s">
        <v>45</v>
      </c>
      <c r="AJ433" s="1">
        <v>41638</v>
      </c>
    </row>
    <row r="434" spans="1:36" ht="15">
      <c r="A434" t="str">
        <f>"ZEE08E5499"</f>
        <v>ZEE08E5499</v>
      </c>
      <c r="B434" t="str">
        <f t="shared" si="19"/>
        <v>02406911202</v>
      </c>
      <c r="C434" t="s">
        <v>13</v>
      </c>
      <c r="D434" t="s">
        <v>37</v>
      </c>
      <c r="E434" t="s">
        <v>266</v>
      </c>
      <c r="F434" t="s">
        <v>39</v>
      </c>
      <c r="G434" t="str">
        <f>"00932190044"</f>
        <v>00932190044</v>
      </c>
      <c r="I434" t="s">
        <v>267</v>
      </c>
      <c r="L434" t="s">
        <v>41</v>
      </c>
      <c r="M434">
        <v>19231</v>
      </c>
      <c r="AG434">
        <v>19033.96</v>
      </c>
      <c r="AH434" s="1">
        <v>41337</v>
      </c>
      <c r="AI434" s="1">
        <v>41486</v>
      </c>
      <c r="AJ434" s="1">
        <v>41638</v>
      </c>
    </row>
    <row r="435" spans="1:36" ht="15">
      <c r="A435" t="str">
        <f>"496676829D"</f>
        <v>496676829D</v>
      </c>
      <c r="B435" t="str">
        <f t="shared" si="19"/>
        <v>02406911202</v>
      </c>
      <c r="C435" t="s">
        <v>13</v>
      </c>
      <c r="D435" t="s">
        <v>37</v>
      </c>
      <c r="E435" t="s">
        <v>268</v>
      </c>
      <c r="F435" t="s">
        <v>86</v>
      </c>
      <c r="G435" t="str">
        <f>"00777910159"</f>
        <v>00777910159</v>
      </c>
      <c r="I435" t="s">
        <v>269</v>
      </c>
      <c r="L435" t="s">
        <v>41</v>
      </c>
      <c r="M435">
        <v>2520</v>
      </c>
      <c r="AG435">
        <v>0</v>
      </c>
      <c r="AH435" s="1">
        <v>41275</v>
      </c>
      <c r="AI435" s="1">
        <v>41639</v>
      </c>
      <c r="AJ435" s="1">
        <v>41638</v>
      </c>
    </row>
    <row r="436" spans="1:36" ht="15">
      <c r="A436" t="str">
        <f>"49668061F9"</f>
        <v>49668061F9</v>
      </c>
      <c r="B436" t="str">
        <f t="shared" si="19"/>
        <v>02406911202</v>
      </c>
      <c r="C436" t="s">
        <v>13</v>
      </c>
      <c r="D436" t="s">
        <v>37</v>
      </c>
      <c r="E436" t="s">
        <v>268</v>
      </c>
      <c r="F436" t="s">
        <v>86</v>
      </c>
      <c r="G436" t="str">
        <f>"00777910159"</f>
        <v>00777910159</v>
      </c>
      <c r="I436" t="s">
        <v>269</v>
      </c>
      <c r="L436" t="s">
        <v>41</v>
      </c>
      <c r="M436">
        <v>5017</v>
      </c>
      <c r="AG436">
        <v>0</v>
      </c>
      <c r="AH436" s="1">
        <v>41275</v>
      </c>
      <c r="AI436" s="1">
        <v>41639</v>
      </c>
      <c r="AJ436" s="1">
        <v>41638</v>
      </c>
    </row>
    <row r="437" spans="1:36" ht="15">
      <c r="A437" t="str">
        <f>"4966821E56"</f>
        <v>4966821E56</v>
      </c>
      <c r="B437" t="str">
        <f t="shared" si="19"/>
        <v>02406911202</v>
      </c>
      <c r="C437" t="s">
        <v>13</v>
      </c>
      <c r="D437" t="s">
        <v>37</v>
      </c>
      <c r="E437" t="s">
        <v>268</v>
      </c>
      <c r="F437" t="s">
        <v>86</v>
      </c>
      <c r="G437" t="str">
        <f>"01233600939"</f>
        <v>01233600939</v>
      </c>
      <c r="I437" t="s">
        <v>270</v>
      </c>
      <c r="L437" t="s">
        <v>41</v>
      </c>
      <c r="M437">
        <v>40</v>
      </c>
      <c r="AG437">
        <v>0</v>
      </c>
      <c r="AH437" s="1">
        <v>41275</v>
      </c>
      <c r="AI437" s="1">
        <v>41639</v>
      </c>
      <c r="AJ437" s="1">
        <v>41638</v>
      </c>
    </row>
    <row r="438" spans="1:36" ht="15">
      <c r="A438" t="str">
        <f>"4966834912"</f>
        <v>4966834912</v>
      </c>
      <c r="B438" t="str">
        <f t="shared" si="19"/>
        <v>02406911202</v>
      </c>
      <c r="C438" t="s">
        <v>13</v>
      </c>
      <c r="D438" t="s">
        <v>37</v>
      </c>
      <c r="E438" t="s">
        <v>268</v>
      </c>
      <c r="F438" t="s">
        <v>86</v>
      </c>
      <c r="G438" t="str">
        <f>"10209790152"</f>
        <v>10209790152</v>
      </c>
      <c r="I438" t="s">
        <v>127</v>
      </c>
      <c r="L438" t="s">
        <v>41</v>
      </c>
      <c r="M438">
        <v>1980</v>
      </c>
      <c r="AG438">
        <v>0</v>
      </c>
      <c r="AH438" s="1">
        <v>41275</v>
      </c>
      <c r="AI438" s="1">
        <v>41639</v>
      </c>
      <c r="AJ438" s="1">
        <v>41638</v>
      </c>
    </row>
    <row r="439" spans="1:36" ht="15">
      <c r="A439" t="str">
        <f>"4966844155"</f>
        <v>4966844155</v>
      </c>
      <c r="B439" t="str">
        <f t="shared" si="19"/>
        <v>02406911202</v>
      </c>
      <c r="C439" t="s">
        <v>13</v>
      </c>
      <c r="D439" t="s">
        <v>37</v>
      </c>
      <c r="E439" t="s">
        <v>268</v>
      </c>
      <c r="F439" t="s">
        <v>86</v>
      </c>
      <c r="G439" t="str">
        <f>"00913010377"</f>
        <v>00913010377</v>
      </c>
      <c r="I439" t="s">
        <v>271</v>
      </c>
      <c r="L439" t="s">
        <v>41</v>
      </c>
      <c r="M439">
        <v>234</v>
      </c>
      <c r="AG439">
        <v>0</v>
      </c>
      <c r="AH439" s="1">
        <v>41275</v>
      </c>
      <c r="AI439" s="1">
        <v>41639</v>
      </c>
      <c r="AJ439" s="1">
        <v>41638</v>
      </c>
    </row>
    <row r="440" spans="1:36" ht="15">
      <c r="A440" t="str">
        <f>"49668473CE"</f>
        <v>49668473CE</v>
      </c>
      <c r="B440" t="str">
        <f t="shared" si="19"/>
        <v>02406911202</v>
      </c>
      <c r="C440" t="s">
        <v>13</v>
      </c>
      <c r="D440" t="s">
        <v>37</v>
      </c>
      <c r="E440" t="s">
        <v>268</v>
      </c>
      <c r="F440" t="s">
        <v>86</v>
      </c>
      <c r="G440" t="str">
        <f>"00829840156"</f>
        <v>00829840156</v>
      </c>
      <c r="I440" t="s">
        <v>272</v>
      </c>
      <c r="L440" t="s">
        <v>41</v>
      </c>
      <c r="M440">
        <v>1788</v>
      </c>
      <c r="AG440">
        <v>0</v>
      </c>
      <c r="AH440" s="1">
        <v>41275</v>
      </c>
      <c r="AI440" s="1">
        <v>41639</v>
      </c>
      <c r="AJ440" s="1">
        <v>41638</v>
      </c>
    </row>
    <row r="441" spans="1:36" ht="15">
      <c r="A441" t="str">
        <f>"4966856B39"</f>
        <v>4966856B39</v>
      </c>
      <c r="B441" t="str">
        <f t="shared" si="19"/>
        <v>02406911202</v>
      </c>
      <c r="C441" t="s">
        <v>13</v>
      </c>
      <c r="D441" t="s">
        <v>37</v>
      </c>
      <c r="E441" t="s">
        <v>268</v>
      </c>
      <c r="F441" t="s">
        <v>86</v>
      </c>
      <c r="G441" t="str">
        <f>"06188330150"</f>
        <v>06188330150</v>
      </c>
      <c r="I441" t="s">
        <v>273</v>
      </c>
      <c r="L441" t="s">
        <v>41</v>
      </c>
      <c r="M441">
        <v>1161</v>
      </c>
      <c r="AG441">
        <v>0</v>
      </c>
      <c r="AH441" s="1">
        <v>41275</v>
      </c>
      <c r="AI441" s="1">
        <v>41639</v>
      </c>
      <c r="AJ441" s="1">
        <v>41638</v>
      </c>
    </row>
    <row r="442" spans="1:36" ht="15">
      <c r="A442" t="str">
        <f>"49668641D6"</f>
        <v>49668641D6</v>
      </c>
      <c r="B442" t="str">
        <f t="shared" si="19"/>
        <v>02406911202</v>
      </c>
      <c r="C442" t="s">
        <v>13</v>
      </c>
      <c r="D442" t="s">
        <v>37</v>
      </c>
      <c r="E442" t="s">
        <v>268</v>
      </c>
      <c r="F442" t="s">
        <v>86</v>
      </c>
      <c r="G442" t="str">
        <f>"04949880159"</f>
        <v>04949880159</v>
      </c>
      <c r="I442" t="s">
        <v>274</v>
      </c>
      <c r="L442" t="s">
        <v>41</v>
      </c>
      <c r="M442">
        <v>205</v>
      </c>
      <c r="AG442">
        <v>0</v>
      </c>
      <c r="AH442" s="1">
        <v>41275</v>
      </c>
      <c r="AI442" s="1">
        <v>41639</v>
      </c>
      <c r="AJ442" s="1">
        <v>41638</v>
      </c>
    </row>
    <row r="443" spans="1:36" ht="15">
      <c r="A443" t="str">
        <f>"49668695F5"</f>
        <v>49668695F5</v>
      </c>
      <c r="B443" t="str">
        <f t="shared" si="19"/>
        <v>02406911202</v>
      </c>
      <c r="C443" t="s">
        <v>13</v>
      </c>
      <c r="D443" t="s">
        <v>37</v>
      </c>
      <c r="E443" t="s">
        <v>268</v>
      </c>
      <c r="F443" t="s">
        <v>86</v>
      </c>
      <c r="G443" t="str">
        <f>"01496170281"</f>
        <v>01496170281</v>
      </c>
      <c r="I443" t="s">
        <v>275</v>
      </c>
      <c r="L443" t="s">
        <v>41</v>
      </c>
      <c r="M443">
        <v>72</v>
      </c>
      <c r="AG443">
        <v>0</v>
      </c>
      <c r="AH443" s="1">
        <v>41275</v>
      </c>
      <c r="AI443" s="1">
        <v>41639</v>
      </c>
      <c r="AJ443" s="1">
        <v>41638</v>
      </c>
    </row>
    <row r="444" spans="1:36" ht="15">
      <c r="A444" t="str">
        <f>"4966875AE7"</f>
        <v>4966875AE7</v>
      </c>
      <c r="B444" t="str">
        <f t="shared" si="19"/>
        <v>02406911202</v>
      </c>
      <c r="C444" t="s">
        <v>13</v>
      </c>
      <c r="D444" t="s">
        <v>37</v>
      </c>
      <c r="E444" t="s">
        <v>268</v>
      </c>
      <c r="F444" t="s">
        <v>86</v>
      </c>
      <c r="G444" t="str">
        <f>"03670431000"</f>
        <v>03670431000</v>
      </c>
      <c r="I444" t="s">
        <v>276</v>
      </c>
      <c r="L444" t="s">
        <v>41</v>
      </c>
      <c r="M444">
        <v>230</v>
      </c>
      <c r="AG444">
        <v>0</v>
      </c>
      <c r="AH444" s="1">
        <v>41275</v>
      </c>
      <c r="AI444" s="1">
        <v>41639</v>
      </c>
      <c r="AJ444" s="1">
        <v>41638</v>
      </c>
    </row>
    <row r="445" spans="1:36" ht="15">
      <c r="A445" t="str">
        <f>"4966880F06"</f>
        <v>4966880F06</v>
      </c>
      <c r="B445" t="str">
        <f t="shared" si="19"/>
        <v>02406911202</v>
      </c>
      <c r="C445" t="s">
        <v>13</v>
      </c>
      <c r="D445" t="s">
        <v>37</v>
      </c>
      <c r="E445" t="s">
        <v>268</v>
      </c>
      <c r="F445" t="s">
        <v>86</v>
      </c>
      <c r="G445" t="str">
        <f>"04056450374"</f>
        <v>04056450374</v>
      </c>
      <c r="I445" t="s">
        <v>277</v>
      </c>
      <c r="L445" t="s">
        <v>41</v>
      </c>
      <c r="M445">
        <v>190</v>
      </c>
      <c r="AG445">
        <v>0</v>
      </c>
      <c r="AH445" s="1">
        <v>41275</v>
      </c>
      <c r="AI445" s="1">
        <v>41639</v>
      </c>
      <c r="AJ445" s="1">
        <v>41638</v>
      </c>
    </row>
    <row r="446" spans="1:36" ht="15">
      <c r="A446" t="str">
        <f>"49668939C2"</f>
        <v>49668939C2</v>
      </c>
      <c r="B446" t="str">
        <f t="shared" si="19"/>
        <v>02406911202</v>
      </c>
      <c r="C446" t="s">
        <v>13</v>
      </c>
      <c r="D446" t="s">
        <v>37</v>
      </c>
      <c r="E446" t="s">
        <v>268</v>
      </c>
      <c r="F446" t="s">
        <v>86</v>
      </c>
      <c r="G446" t="str">
        <f>"04268660372"</f>
        <v>04268660372</v>
      </c>
      <c r="I446" t="s">
        <v>278</v>
      </c>
      <c r="L446" t="s">
        <v>41</v>
      </c>
      <c r="M446">
        <v>184</v>
      </c>
      <c r="AG446">
        <v>0</v>
      </c>
      <c r="AH446" s="1">
        <v>41275</v>
      </c>
      <c r="AI446" s="1">
        <v>41639</v>
      </c>
      <c r="AJ446" s="1">
        <v>41638</v>
      </c>
    </row>
    <row r="447" spans="1:36" ht="15">
      <c r="A447" t="str">
        <f>"4966898DE1"</f>
        <v>4966898DE1</v>
      </c>
      <c r="B447" t="str">
        <f t="shared" si="19"/>
        <v>02406911202</v>
      </c>
      <c r="C447" t="s">
        <v>13</v>
      </c>
      <c r="D447" t="s">
        <v>37</v>
      </c>
      <c r="E447" t="s">
        <v>268</v>
      </c>
      <c r="F447" t="s">
        <v>86</v>
      </c>
      <c r="G447" t="str">
        <f>"04985270588"</f>
        <v>04985270588</v>
      </c>
      <c r="I447" t="s">
        <v>279</v>
      </c>
      <c r="L447" t="s">
        <v>41</v>
      </c>
      <c r="M447">
        <v>1800</v>
      </c>
      <c r="AG447">
        <v>44</v>
      </c>
      <c r="AH447" s="1">
        <v>41275</v>
      </c>
      <c r="AI447" s="1">
        <v>41639</v>
      </c>
      <c r="AJ447" s="1">
        <v>41638</v>
      </c>
    </row>
    <row r="448" spans="1:36" ht="15">
      <c r="A448" t="str">
        <f>"49669042D8"</f>
        <v>49669042D8</v>
      </c>
      <c r="B448" t="str">
        <f t="shared" si="19"/>
        <v>02406911202</v>
      </c>
      <c r="C448" t="s">
        <v>13</v>
      </c>
      <c r="D448" t="s">
        <v>37</v>
      </c>
      <c r="E448" t="s">
        <v>268</v>
      </c>
      <c r="F448" t="s">
        <v>86</v>
      </c>
      <c r="G448" t="str">
        <f>"00923870968"</f>
        <v>00923870968</v>
      </c>
      <c r="I448" t="s">
        <v>280</v>
      </c>
      <c r="L448" t="s">
        <v>41</v>
      </c>
      <c r="M448">
        <v>810</v>
      </c>
      <c r="AG448">
        <v>0</v>
      </c>
      <c r="AH448" s="1">
        <v>41275</v>
      </c>
      <c r="AI448" s="1">
        <v>41639</v>
      </c>
      <c r="AJ448" s="1">
        <v>41638</v>
      </c>
    </row>
    <row r="449" spans="1:36" ht="15">
      <c r="A449" t="str">
        <f>"4966907551"</f>
        <v>4966907551</v>
      </c>
      <c r="B449" t="str">
        <f t="shared" si="19"/>
        <v>02406911202</v>
      </c>
      <c r="C449" t="s">
        <v>13</v>
      </c>
      <c r="D449" t="s">
        <v>37</v>
      </c>
      <c r="E449" t="s">
        <v>268</v>
      </c>
      <c r="F449" t="s">
        <v>86</v>
      </c>
      <c r="G449" t="str">
        <f>"00753480151"</f>
        <v>00753480151</v>
      </c>
      <c r="I449" t="s">
        <v>281</v>
      </c>
      <c r="L449" t="s">
        <v>41</v>
      </c>
      <c r="M449">
        <v>60</v>
      </c>
      <c r="AG449">
        <v>0</v>
      </c>
      <c r="AH449" s="1">
        <v>41275</v>
      </c>
      <c r="AI449" s="1">
        <v>41639</v>
      </c>
      <c r="AJ449" s="1">
        <v>41638</v>
      </c>
    </row>
    <row r="450" spans="1:36" ht="15">
      <c r="A450" t="str">
        <f>"4966912970"</f>
        <v>4966912970</v>
      </c>
      <c r="B450" t="str">
        <f aca="true" t="shared" si="22" ref="B450:B513">"02406911202"</f>
        <v>02406911202</v>
      </c>
      <c r="C450" t="s">
        <v>13</v>
      </c>
      <c r="D450" t="s">
        <v>37</v>
      </c>
      <c r="E450" t="s">
        <v>268</v>
      </c>
      <c r="F450" t="s">
        <v>86</v>
      </c>
      <c r="G450" t="str">
        <f>"01282770187"</f>
        <v>01282770187</v>
      </c>
      <c r="I450" t="s">
        <v>282</v>
      </c>
      <c r="L450" t="s">
        <v>41</v>
      </c>
      <c r="M450">
        <v>140</v>
      </c>
      <c r="AG450">
        <v>0</v>
      </c>
      <c r="AH450" s="1">
        <v>41275</v>
      </c>
      <c r="AI450" s="1">
        <v>41639</v>
      </c>
      <c r="AJ450" s="1">
        <v>41638</v>
      </c>
    </row>
    <row r="451" spans="1:36" ht="15">
      <c r="A451" t="str">
        <f>"4966915BE9"</f>
        <v>4966915BE9</v>
      </c>
      <c r="B451" t="str">
        <f t="shared" si="22"/>
        <v>02406911202</v>
      </c>
      <c r="C451" t="s">
        <v>13</v>
      </c>
      <c r="D451" t="s">
        <v>37</v>
      </c>
      <c r="E451" t="s">
        <v>268</v>
      </c>
      <c r="F451" t="s">
        <v>86</v>
      </c>
      <c r="G451" t="str">
        <f>"00311580377"</f>
        <v>00311580377</v>
      </c>
      <c r="I451" t="s">
        <v>283</v>
      </c>
      <c r="L451" t="s">
        <v>41</v>
      </c>
      <c r="M451">
        <v>66</v>
      </c>
      <c r="AG451">
        <v>0</v>
      </c>
      <c r="AH451" s="1">
        <v>41275</v>
      </c>
      <c r="AI451" s="1">
        <v>41639</v>
      </c>
      <c r="AJ451" s="1">
        <v>41638</v>
      </c>
    </row>
    <row r="452" spans="1:36" ht="15">
      <c r="A452" t="str">
        <f>"4966919F35"</f>
        <v>4966919F35</v>
      </c>
      <c r="B452" t="str">
        <f t="shared" si="22"/>
        <v>02406911202</v>
      </c>
      <c r="C452" t="s">
        <v>13</v>
      </c>
      <c r="D452" t="s">
        <v>37</v>
      </c>
      <c r="E452" t="s">
        <v>268</v>
      </c>
      <c r="F452" t="s">
        <v>86</v>
      </c>
      <c r="G452" t="str">
        <f>"09808151006"</f>
        <v>09808151006</v>
      </c>
      <c r="I452" t="s">
        <v>284</v>
      </c>
      <c r="L452" t="s">
        <v>41</v>
      </c>
      <c r="M452">
        <v>95</v>
      </c>
      <c r="AG452">
        <v>0</v>
      </c>
      <c r="AH452" s="1">
        <v>41275</v>
      </c>
      <c r="AI452" s="1">
        <v>41639</v>
      </c>
      <c r="AJ452" s="1">
        <v>41638</v>
      </c>
    </row>
    <row r="453" spans="1:36" ht="15">
      <c r="A453" t="str">
        <f>"49669275D2"</f>
        <v>49669275D2</v>
      </c>
      <c r="B453" t="str">
        <f t="shared" si="22"/>
        <v>02406911202</v>
      </c>
      <c r="C453" t="s">
        <v>13</v>
      </c>
      <c r="D453" t="s">
        <v>37</v>
      </c>
      <c r="E453" t="s">
        <v>268</v>
      </c>
      <c r="F453" t="s">
        <v>86</v>
      </c>
      <c r="G453" t="str">
        <f>"00429130586"</f>
        <v>00429130586</v>
      </c>
      <c r="I453" t="s">
        <v>285</v>
      </c>
      <c r="L453" t="s">
        <v>41</v>
      </c>
      <c r="M453">
        <v>100</v>
      </c>
      <c r="AG453">
        <v>0</v>
      </c>
      <c r="AH453" s="1">
        <v>41275</v>
      </c>
      <c r="AI453" s="1">
        <v>41639</v>
      </c>
      <c r="AJ453" s="1">
        <v>41638</v>
      </c>
    </row>
    <row r="454" spans="1:36" ht="15">
      <c r="A454" t="str">
        <f>"4966933AC4"</f>
        <v>4966933AC4</v>
      </c>
      <c r="B454" t="str">
        <f t="shared" si="22"/>
        <v>02406911202</v>
      </c>
      <c r="C454" t="s">
        <v>13</v>
      </c>
      <c r="D454" t="s">
        <v>37</v>
      </c>
      <c r="E454" t="s">
        <v>268</v>
      </c>
      <c r="F454" t="s">
        <v>86</v>
      </c>
      <c r="G454" t="str">
        <f>"10209790152"</f>
        <v>10209790152</v>
      </c>
      <c r="I454" t="s">
        <v>127</v>
      </c>
      <c r="L454" t="s">
        <v>41</v>
      </c>
      <c r="M454">
        <v>65</v>
      </c>
      <c r="AG454">
        <v>0</v>
      </c>
      <c r="AH454" s="1">
        <v>41275</v>
      </c>
      <c r="AI454" s="1">
        <v>41639</v>
      </c>
      <c r="AJ454" s="1">
        <v>41638</v>
      </c>
    </row>
    <row r="455" spans="1:36" ht="15">
      <c r="A455" t="str">
        <f>"496694008E"</f>
        <v>496694008E</v>
      </c>
      <c r="B455" t="str">
        <f t="shared" si="22"/>
        <v>02406911202</v>
      </c>
      <c r="C455" t="s">
        <v>13</v>
      </c>
      <c r="D455" t="s">
        <v>37</v>
      </c>
      <c r="E455" t="s">
        <v>268</v>
      </c>
      <c r="F455" t="s">
        <v>86</v>
      </c>
      <c r="G455" t="str">
        <f>"01767140153"</f>
        <v>01767140153</v>
      </c>
      <c r="I455" t="s">
        <v>286</v>
      </c>
      <c r="L455" t="s">
        <v>41</v>
      </c>
      <c r="M455">
        <v>89</v>
      </c>
      <c r="AG455">
        <v>0</v>
      </c>
      <c r="AH455" s="1">
        <v>41275</v>
      </c>
      <c r="AI455" s="1">
        <v>41639</v>
      </c>
      <c r="AJ455" s="1">
        <v>41638</v>
      </c>
    </row>
    <row r="456" spans="1:36" ht="15">
      <c r="A456" t="str">
        <f>"49669622B5"</f>
        <v>49669622B5</v>
      </c>
      <c r="B456" t="str">
        <f t="shared" si="22"/>
        <v>02406911202</v>
      </c>
      <c r="C456" t="s">
        <v>13</v>
      </c>
      <c r="D456" t="s">
        <v>37</v>
      </c>
      <c r="E456" t="s">
        <v>268</v>
      </c>
      <c r="F456" t="s">
        <v>86</v>
      </c>
      <c r="G456" t="str">
        <f>"02119660013"</f>
        <v>02119660013</v>
      </c>
      <c r="I456" t="s">
        <v>287</v>
      </c>
      <c r="L456" t="s">
        <v>41</v>
      </c>
      <c r="M456">
        <v>65</v>
      </c>
      <c r="AG456">
        <v>0</v>
      </c>
      <c r="AH456" s="1">
        <v>41275</v>
      </c>
      <c r="AI456" s="1">
        <v>41639</v>
      </c>
      <c r="AJ456" s="1">
        <v>41638</v>
      </c>
    </row>
    <row r="457" spans="1:36" ht="15">
      <c r="A457" t="str">
        <f>"4966974C99"</f>
        <v>4966974C99</v>
      </c>
      <c r="B457" t="str">
        <f t="shared" si="22"/>
        <v>02406911202</v>
      </c>
      <c r="C457" t="s">
        <v>13</v>
      </c>
      <c r="D457" t="s">
        <v>37</v>
      </c>
      <c r="E457" t="s">
        <v>268</v>
      </c>
      <c r="F457" t="s">
        <v>86</v>
      </c>
      <c r="G457" t="str">
        <f>"01063120222"</f>
        <v>01063120222</v>
      </c>
      <c r="I457" t="s">
        <v>288</v>
      </c>
      <c r="L457" t="s">
        <v>41</v>
      </c>
      <c r="M457">
        <v>48</v>
      </c>
      <c r="AG457">
        <v>0</v>
      </c>
      <c r="AH457" s="1">
        <v>41275</v>
      </c>
      <c r="AI457" s="1">
        <v>41639</v>
      </c>
      <c r="AJ457" s="1">
        <v>41638</v>
      </c>
    </row>
    <row r="458" spans="1:36" ht="15">
      <c r="A458" t="str">
        <f>"49826168CA"</f>
        <v>49826168CA</v>
      </c>
      <c r="B458" t="str">
        <f t="shared" si="22"/>
        <v>02406911202</v>
      </c>
      <c r="C458" t="s">
        <v>13</v>
      </c>
      <c r="D458" t="s">
        <v>37</v>
      </c>
      <c r="E458" t="s">
        <v>289</v>
      </c>
      <c r="F458" t="s">
        <v>86</v>
      </c>
      <c r="G458" t="str">
        <f>"04647720483"</f>
        <v>04647720483</v>
      </c>
      <c r="I458" t="s">
        <v>290</v>
      </c>
      <c r="L458" t="s">
        <v>41</v>
      </c>
      <c r="M458">
        <v>187470</v>
      </c>
      <c r="AG458">
        <v>134853.99</v>
      </c>
      <c r="AH458" s="1">
        <v>41334</v>
      </c>
      <c r="AI458" s="1">
        <v>42428</v>
      </c>
      <c r="AJ458" s="1">
        <v>41638</v>
      </c>
    </row>
    <row r="459" spans="1:36" ht="15">
      <c r="A459" t="str">
        <f>"4957347428"</f>
        <v>4957347428</v>
      </c>
      <c r="B459" t="str">
        <f t="shared" si="22"/>
        <v>02406911202</v>
      </c>
      <c r="C459" t="s">
        <v>13</v>
      </c>
      <c r="D459" t="s">
        <v>37</v>
      </c>
      <c r="E459" t="s">
        <v>291</v>
      </c>
      <c r="F459" t="s">
        <v>86</v>
      </c>
      <c r="G459" t="str">
        <f>"04190470486"</f>
        <v>04190470486</v>
      </c>
      <c r="I459" t="s">
        <v>292</v>
      </c>
      <c r="L459" t="s">
        <v>41</v>
      </c>
      <c r="M459">
        <v>29312</v>
      </c>
      <c r="AG459">
        <v>31008.73</v>
      </c>
      <c r="AH459" s="1">
        <v>41365</v>
      </c>
      <c r="AI459" s="1">
        <v>42200</v>
      </c>
      <c r="AJ459" s="1">
        <v>41638</v>
      </c>
    </row>
    <row r="460" spans="1:36" ht="15">
      <c r="A460" t="str">
        <f>"4996582DE4"</f>
        <v>4996582DE4</v>
      </c>
      <c r="B460" t="str">
        <f t="shared" si="22"/>
        <v>02406911202</v>
      </c>
      <c r="C460" t="s">
        <v>13</v>
      </c>
      <c r="D460" t="s">
        <v>37</v>
      </c>
      <c r="E460" t="s">
        <v>293</v>
      </c>
      <c r="F460" t="s">
        <v>86</v>
      </c>
      <c r="G460" t="str">
        <f>"10128980157"</f>
        <v>10128980157</v>
      </c>
      <c r="I460" t="s">
        <v>294</v>
      </c>
      <c r="L460" t="s">
        <v>41</v>
      </c>
      <c r="M460">
        <v>9741</v>
      </c>
      <c r="AG460">
        <v>0</v>
      </c>
      <c r="AH460" s="1">
        <v>41346</v>
      </c>
      <c r="AI460" s="1">
        <v>41670</v>
      </c>
      <c r="AJ460" s="1">
        <v>41638</v>
      </c>
    </row>
    <row r="461" spans="1:37" ht="15">
      <c r="A461" t="str">
        <f>"ZE30910BBA"</f>
        <v>ZE30910BBA</v>
      </c>
      <c r="B461" t="str">
        <f t="shared" si="22"/>
        <v>02406911202</v>
      </c>
      <c r="C461" t="s">
        <v>13</v>
      </c>
      <c r="D461" t="s">
        <v>37</v>
      </c>
      <c r="E461" t="s">
        <v>295</v>
      </c>
      <c r="F461" t="s">
        <v>39</v>
      </c>
      <c r="G461" t="str">
        <f>"00310940374"</f>
        <v>00310940374</v>
      </c>
      <c r="I461" t="s">
        <v>296</v>
      </c>
      <c r="L461" t="s">
        <v>41</v>
      </c>
      <c r="M461">
        <v>9646.16</v>
      </c>
      <c r="AG461">
        <v>9646.16</v>
      </c>
      <c r="AH461" s="1">
        <v>41351</v>
      </c>
      <c r="AI461" s="1">
        <v>41455</v>
      </c>
      <c r="AJ461" s="1">
        <v>41638</v>
      </c>
      <c r="AK461" t="s">
        <v>297</v>
      </c>
    </row>
    <row r="462" spans="1:36" ht="15">
      <c r="A462" t="str">
        <f aca="true" t="shared" si="23" ref="A462:A471">"42630479AA"</f>
        <v>42630479AA</v>
      </c>
      <c r="B462" t="str">
        <f t="shared" si="22"/>
        <v>02406911202</v>
      </c>
      <c r="C462" t="s">
        <v>13</v>
      </c>
      <c r="D462" t="s">
        <v>37</v>
      </c>
      <c r="E462" t="s">
        <v>298</v>
      </c>
      <c r="F462" t="s">
        <v>43</v>
      </c>
      <c r="G462" t="str">
        <f>"05215890483"</f>
        <v>05215890483</v>
      </c>
      <c r="I462" t="s">
        <v>299</v>
      </c>
      <c r="L462" t="s">
        <v>41</v>
      </c>
      <c r="M462">
        <v>1444000</v>
      </c>
      <c r="AG462">
        <v>2899688.76</v>
      </c>
      <c r="AH462" s="1">
        <v>41395</v>
      </c>
      <c r="AI462" s="1">
        <v>42124</v>
      </c>
      <c r="AJ462" s="1">
        <v>41638</v>
      </c>
    </row>
    <row r="463" spans="1:36" ht="15">
      <c r="A463" t="str">
        <f t="shared" si="23"/>
        <v>42630479AA</v>
      </c>
      <c r="B463" t="str">
        <f t="shared" si="22"/>
        <v>02406911202</v>
      </c>
      <c r="C463" t="s">
        <v>13</v>
      </c>
      <c r="D463" t="s">
        <v>37</v>
      </c>
      <c r="E463" t="s">
        <v>298</v>
      </c>
      <c r="F463" t="s">
        <v>43</v>
      </c>
      <c r="G463" t="str">
        <f>"02344980608"</f>
        <v>02344980608</v>
      </c>
      <c r="I463" t="s">
        <v>300</v>
      </c>
      <c r="L463" t="s">
        <v>45</v>
      </c>
      <c r="AJ463" s="1">
        <v>41638</v>
      </c>
    </row>
    <row r="464" spans="1:36" ht="15">
      <c r="A464" t="str">
        <f t="shared" si="23"/>
        <v>42630479AA</v>
      </c>
      <c r="B464" t="str">
        <f t="shared" si="22"/>
        <v>02406911202</v>
      </c>
      <c r="C464" t="s">
        <v>13</v>
      </c>
      <c r="D464" t="s">
        <v>37</v>
      </c>
      <c r="E464" t="s">
        <v>298</v>
      </c>
      <c r="F464" t="s">
        <v>43</v>
      </c>
      <c r="G464" t="str">
        <f>"02718431204"</f>
        <v>02718431204</v>
      </c>
      <c r="I464" t="s">
        <v>301</v>
      </c>
      <c r="L464" t="s">
        <v>45</v>
      </c>
      <c r="AJ464" s="1">
        <v>41638</v>
      </c>
    </row>
    <row r="465" spans="1:36" ht="15">
      <c r="A465" t="str">
        <f t="shared" si="23"/>
        <v>42630479AA</v>
      </c>
      <c r="B465" t="str">
        <f t="shared" si="22"/>
        <v>02406911202</v>
      </c>
      <c r="C465" t="s">
        <v>13</v>
      </c>
      <c r="D465" t="s">
        <v>37</v>
      </c>
      <c r="E465" t="s">
        <v>298</v>
      </c>
      <c r="F465" t="s">
        <v>43</v>
      </c>
      <c r="G465" t="str">
        <f>"02552531200"</f>
        <v>02552531200</v>
      </c>
      <c r="I465" t="s">
        <v>302</v>
      </c>
      <c r="L465" t="s">
        <v>45</v>
      </c>
      <c r="AJ465" s="1">
        <v>41638</v>
      </c>
    </row>
    <row r="466" spans="1:36" ht="15">
      <c r="A466" t="str">
        <f t="shared" si="23"/>
        <v>42630479AA</v>
      </c>
      <c r="B466" t="str">
        <f t="shared" si="22"/>
        <v>02406911202</v>
      </c>
      <c r="C466" t="s">
        <v>13</v>
      </c>
      <c r="D466" t="s">
        <v>37</v>
      </c>
      <c r="E466" t="s">
        <v>298</v>
      </c>
      <c r="F466" t="s">
        <v>43</v>
      </c>
      <c r="G466" t="str">
        <f>"00685980146"</f>
        <v>00685980146</v>
      </c>
      <c r="I466" t="s">
        <v>303</v>
      </c>
      <c r="L466" t="s">
        <v>45</v>
      </c>
      <c r="AJ466" s="1">
        <v>41638</v>
      </c>
    </row>
    <row r="467" spans="1:36" ht="15">
      <c r="A467" t="str">
        <f t="shared" si="23"/>
        <v>42630479AA</v>
      </c>
      <c r="B467" t="str">
        <f t="shared" si="22"/>
        <v>02406911202</v>
      </c>
      <c r="C467" t="s">
        <v>13</v>
      </c>
      <c r="D467" t="s">
        <v>37</v>
      </c>
      <c r="E467" t="s">
        <v>298</v>
      </c>
      <c r="F467" t="s">
        <v>43</v>
      </c>
      <c r="G467" t="str">
        <f>"12288660157"</f>
        <v>12288660157</v>
      </c>
      <c r="I467" t="s">
        <v>304</v>
      </c>
      <c r="L467" t="s">
        <v>45</v>
      </c>
      <c r="AJ467" s="1">
        <v>41638</v>
      </c>
    </row>
    <row r="468" spans="1:36" ht="15">
      <c r="A468" t="str">
        <f t="shared" si="23"/>
        <v>42630479AA</v>
      </c>
      <c r="B468" t="str">
        <f t="shared" si="22"/>
        <v>02406911202</v>
      </c>
      <c r="C468" t="s">
        <v>13</v>
      </c>
      <c r="D468" t="s">
        <v>37</v>
      </c>
      <c r="E468" t="s">
        <v>298</v>
      </c>
      <c r="F468" t="s">
        <v>43</v>
      </c>
      <c r="G468" t="str">
        <f>"05510281008"</f>
        <v>05510281008</v>
      </c>
      <c r="I468" t="s">
        <v>305</v>
      </c>
      <c r="L468" t="s">
        <v>45</v>
      </c>
      <c r="AJ468" s="1">
        <v>41638</v>
      </c>
    </row>
    <row r="469" spans="1:36" ht="15">
      <c r="A469" t="str">
        <f t="shared" si="23"/>
        <v>42630479AA</v>
      </c>
      <c r="B469" t="str">
        <f t="shared" si="22"/>
        <v>02406911202</v>
      </c>
      <c r="C469" t="s">
        <v>13</v>
      </c>
      <c r="D469" t="s">
        <v>37</v>
      </c>
      <c r="E469" t="s">
        <v>298</v>
      </c>
      <c r="F469" t="s">
        <v>43</v>
      </c>
      <c r="G469" t="str">
        <f>"11629770154"</f>
        <v>11629770154</v>
      </c>
      <c r="I469" t="s">
        <v>306</v>
      </c>
      <c r="L469" t="s">
        <v>45</v>
      </c>
      <c r="AJ469" s="1">
        <v>41638</v>
      </c>
    </row>
    <row r="470" spans="1:36" ht="15">
      <c r="A470" t="str">
        <f t="shared" si="23"/>
        <v>42630479AA</v>
      </c>
      <c r="B470" t="str">
        <f t="shared" si="22"/>
        <v>02406911202</v>
      </c>
      <c r="C470" t="s">
        <v>13</v>
      </c>
      <c r="D470" t="s">
        <v>37</v>
      </c>
      <c r="E470" t="s">
        <v>298</v>
      </c>
      <c r="F470" t="s">
        <v>43</v>
      </c>
      <c r="G470" t="str">
        <f>"05819501007"</f>
        <v>05819501007</v>
      </c>
      <c r="I470" t="s">
        <v>307</v>
      </c>
      <c r="L470" t="s">
        <v>45</v>
      </c>
      <c r="AJ470" s="1">
        <v>41638</v>
      </c>
    </row>
    <row r="471" spans="1:36" ht="15">
      <c r="A471" t="str">
        <f t="shared" si="23"/>
        <v>42630479AA</v>
      </c>
      <c r="B471" t="str">
        <f t="shared" si="22"/>
        <v>02406911202</v>
      </c>
      <c r="C471" t="s">
        <v>13</v>
      </c>
      <c r="D471" t="s">
        <v>37</v>
      </c>
      <c r="E471" t="s">
        <v>298</v>
      </c>
      <c r="F471" t="s">
        <v>43</v>
      </c>
      <c r="G471" t="str">
        <f>"13366030156"</f>
        <v>13366030156</v>
      </c>
      <c r="I471" t="s">
        <v>308</v>
      </c>
      <c r="L471" t="s">
        <v>45</v>
      </c>
      <c r="AJ471" s="1">
        <v>41638</v>
      </c>
    </row>
    <row r="472" spans="1:36" ht="15">
      <c r="A472" t="str">
        <f>"50071742B3"</f>
        <v>50071742B3</v>
      </c>
      <c r="B472" t="str">
        <f t="shared" si="22"/>
        <v>02406911202</v>
      </c>
      <c r="C472" t="s">
        <v>13</v>
      </c>
      <c r="D472" t="s">
        <v>37</v>
      </c>
      <c r="E472" t="s">
        <v>309</v>
      </c>
      <c r="F472" t="s">
        <v>86</v>
      </c>
      <c r="G472" t="str">
        <f>"05534090013"</f>
        <v>05534090013</v>
      </c>
      <c r="I472" t="s">
        <v>126</v>
      </c>
      <c r="L472" t="s">
        <v>41</v>
      </c>
      <c r="M472">
        <v>2696.4</v>
      </c>
      <c r="AG472">
        <v>2704.31</v>
      </c>
      <c r="AH472" s="1">
        <v>41352</v>
      </c>
      <c r="AI472" s="1">
        <v>41639</v>
      </c>
      <c r="AJ472" s="1">
        <v>41352</v>
      </c>
    </row>
    <row r="473" spans="1:36" ht="15">
      <c r="A473" t="str">
        <f>"50071910BB"</f>
        <v>50071910BB</v>
      </c>
      <c r="B473" t="str">
        <f t="shared" si="22"/>
        <v>02406911202</v>
      </c>
      <c r="C473" t="s">
        <v>13</v>
      </c>
      <c r="D473" t="s">
        <v>37</v>
      </c>
      <c r="E473" t="s">
        <v>309</v>
      </c>
      <c r="F473" t="s">
        <v>86</v>
      </c>
      <c r="H473" t="str">
        <f>"NL005033019B01"</f>
        <v>NL005033019B01</v>
      </c>
      <c r="I473" t="s">
        <v>310</v>
      </c>
      <c r="L473" t="s">
        <v>45</v>
      </c>
      <c r="AJ473" s="1">
        <v>41638</v>
      </c>
    </row>
    <row r="474" spans="1:36" ht="15">
      <c r="A474" t="str">
        <f>"50071910BB"</f>
        <v>50071910BB</v>
      </c>
      <c r="B474" t="str">
        <f t="shared" si="22"/>
        <v>02406911202</v>
      </c>
      <c r="C474" t="s">
        <v>13</v>
      </c>
      <c r="D474" t="s">
        <v>37</v>
      </c>
      <c r="E474" t="s">
        <v>309</v>
      </c>
      <c r="F474" t="s">
        <v>86</v>
      </c>
      <c r="G474" t="str">
        <f>"00317740371"</f>
        <v>00317740371</v>
      </c>
      <c r="I474" t="s">
        <v>124</v>
      </c>
      <c r="L474" t="s">
        <v>45</v>
      </c>
      <c r="AJ474" s="1">
        <v>41638</v>
      </c>
    </row>
    <row r="475" spans="1:36" ht="15">
      <c r="A475" t="str">
        <f>"50071910BB"</f>
        <v>50071910BB</v>
      </c>
      <c r="B475" t="str">
        <f t="shared" si="22"/>
        <v>02406911202</v>
      </c>
      <c r="C475" t="s">
        <v>13</v>
      </c>
      <c r="D475" t="s">
        <v>37</v>
      </c>
      <c r="E475" t="s">
        <v>309</v>
      </c>
      <c r="F475" t="s">
        <v>86</v>
      </c>
      <c r="G475" t="str">
        <f>"00901181008"</f>
        <v>00901181008</v>
      </c>
      <c r="I475" t="s">
        <v>123</v>
      </c>
      <c r="L475" t="s">
        <v>45</v>
      </c>
      <c r="AJ475" s="1">
        <v>41638</v>
      </c>
    </row>
    <row r="476" spans="1:36" ht="15">
      <c r="A476" t="str">
        <f>"50071910BB"</f>
        <v>50071910BB</v>
      </c>
      <c r="B476" t="str">
        <f t="shared" si="22"/>
        <v>02406911202</v>
      </c>
      <c r="C476" t="s">
        <v>13</v>
      </c>
      <c r="D476" t="s">
        <v>37</v>
      </c>
      <c r="E476" t="s">
        <v>309</v>
      </c>
      <c r="F476" t="s">
        <v>86</v>
      </c>
      <c r="G476" t="str">
        <f>"12345678911"</f>
        <v>12345678911</v>
      </c>
      <c r="I476" t="s">
        <v>311</v>
      </c>
      <c r="L476" t="s">
        <v>41</v>
      </c>
      <c r="M476">
        <v>2651.12</v>
      </c>
      <c r="AG476">
        <v>5409.96</v>
      </c>
      <c r="AH476" s="1">
        <v>41352</v>
      </c>
      <c r="AI476" s="1">
        <v>41639</v>
      </c>
      <c r="AJ476" s="1">
        <v>41638</v>
      </c>
    </row>
    <row r="477" spans="1:36" ht="15">
      <c r="A477" t="str">
        <f>"4980739BD6"</f>
        <v>4980739BD6</v>
      </c>
      <c r="B477" t="str">
        <f t="shared" si="22"/>
        <v>02406911202</v>
      </c>
      <c r="C477" t="s">
        <v>13</v>
      </c>
      <c r="D477" t="s">
        <v>37</v>
      </c>
      <c r="E477" t="s">
        <v>312</v>
      </c>
      <c r="F477" t="s">
        <v>86</v>
      </c>
      <c r="G477" t="str">
        <f>"02187920968"</f>
        <v>02187920968</v>
      </c>
      <c r="I477" t="s">
        <v>49</v>
      </c>
      <c r="L477" t="s">
        <v>41</v>
      </c>
      <c r="M477">
        <v>79173</v>
      </c>
      <c r="AG477">
        <v>79172.89</v>
      </c>
      <c r="AH477" s="1">
        <v>41334</v>
      </c>
      <c r="AI477" s="1">
        <v>41698</v>
      </c>
      <c r="AJ477" s="1">
        <v>41638</v>
      </c>
    </row>
    <row r="478" spans="1:36" ht="15">
      <c r="A478" t="str">
        <f>"Z8309030B3"</f>
        <v>Z8309030B3</v>
      </c>
      <c r="B478" t="str">
        <f t="shared" si="22"/>
        <v>02406911202</v>
      </c>
      <c r="C478" t="s">
        <v>13</v>
      </c>
      <c r="D478" t="s">
        <v>37</v>
      </c>
      <c r="E478" t="s">
        <v>313</v>
      </c>
      <c r="F478" t="s">
        <v>39</v>
      </c>
      <c r="G478" t="str">
        <f>"01788080156"</f>
        <v>01788080156</v>
      </c>
      <c r="I478" t="s">
        <v>314</v>
      </c>
      <c r="L478" t="s">
        <v>41</v>
      </c>
      <c r="M478">
        <v>8307</v>
      </c>
      <c r="AG478">
        <v>6865</v>
      </c>
      <c r="AH478" s="1">
        <v>41354</v>
      </c>
      <c r="AI478" s="1">
        <v>41455</v>
      </c>
      <c r="AJ478" s="1">
        <v>41638</v>
      </c>
    </row>
    <row r="479" spans="1:36" ht="15">
      <c r="A479" t="str">
        <f>"ZAC0976C17"</f>
        <v>ZAC0976C17</v>
      </c>
      <c r="B479" t="str">
        <f t="shared" si="22"/>
        <v>02406911202</v>
      </c>
      <c r="C479" t="s">
        <v>13</v>
      </c>
      <c r="D479" t="s">
        <v>37</v>
      </c>
      <c r="E479" t="s">
        <v>315</v>
      </c>
      <c r="F479" t="s">
        <v>39</v>
      </c>
      <c r="G479" t="str">
        <f>"10574970017"</f>
        <v>10574970017</v>
      </c>
      <c r="I479" t="s">
        <v>316</v>
      </c>
      <c r="L479" t="s">
        <v>41</v>
      </c>
      <c r="M479">
        <v>9000</v>
      </c>
      <c r="AG479">
        <v>7200</v>
      </c>
      <c r="AH479" s="1">
        <v>41376</v>
      </c>
      <c r="AI479" s="1">
        <v>41639</v>
      </c>
      <c r="AJ479" s="1">
        <v>41638</v>
      </c>
    </row>
    <row r="480" spans="1:36" ht="15">
      <c r="A480" t="str">
        <f>"4996527085"</f>
        <v>4996527085</v>
      </c>
      <c r="B480" t="str">
        <f t="shared" si="22"/>
        <v>02406911202</v>
      </c>
      <c r="C480" t="s">
        <v>13</v>
      </c>
      <c r="D480" t="s">
        <v>37</v>
      </c>
      <c r="E480" t="s">
        <v>317</v>
      </c>
      <c r="F480" t="s">
        <v>89</v>
      </c>
      <c r="G480" t="str">
        <f>"00674840152"</f>
        <v>00674840152</v>
      </c>
      <c r="I480" t="s">
        <v>171</v>
      </c>
      <c r="L480" t="s">
        <v>41</v>
      </c>
      <c r="M480">
        <v>30600</v>
      </c>
      <c r="AG480">
        <v>45900</v>
      </c>
      <c r="AH480" s="1">
        <v>41395</v>
      </c>
      <c r="AI480" s="1">
        <v>42124</v>
      </c>
      <c r="AJ480" s="1">
        <v>41638</v>
      </c>
    </row>
    <row r="481" spans="1:36" ht="15">
      <c r="A481" t="str">
        <f>"4996527085"</f>
        <v>4996527085</v>
      </c>
      <c r="B481" t="str">
        <f t="shared" si="22"/>
        <v>02406911202</v>
      </c>
      <c r="C481" t="s">
        <v>13</v>
      </c>
      <c r="D481" t="s">
        <v>37</v>
      </c>
      <c r="E481" t="s">
        <v>317</v>
      </c>
      <c r="F481" t="s">
        <v>89</v>
      </c>
      <c r="G481" t="str">
        <f>"05923071004"</f>
        <v>05923071004</v>
      </c>
      <c r="I481" t="s">
        <v>318</v>
      </c>
      <c r="L481" t="s">
        <v>45</v>
      </c>
      <c r="AJ481" s="1">
        <v>41638</v>
      </c>
    </row>
    <row r="482" spans="1:36" ht="15">
      <c r="A482" t="str">
        <f>"4996527085"</f>
        <v>4996527085</v>
      </c>
      <c r="B482" t="str">
        <f t="shared" si="22"/>
        <v>02406911202</v>
      </c>
      <c r="C482" t="s">
        <v>13</v>
      </c>
      <c r="D482" t="s">
        <v>37</v>
      </c>
      <c r="E482" t="s">
        <v>317</v>
      </c>
      <c r="F482" t="s">
        <v>89</v>
      </c>
      <c r="G482" t="str">
        <f>"08082461008"</f>
        <v>08082461008</v>
      </c>
      <c r="I482" t="s">
        <v>132</v>
      </c>
      <c r="L482" t="s">
        <v>45</v>
      </c>
      <c r="AJ482" s="1">
        <v>41638</v>
      </c>
    </row>
    <row r="483" spans="1:36" ht="15">
      <c r="A483" t="str">
        <f>"4996527085"</f>
        <v>4996527085</v>
      </c>
      <c r="B483" t="str">
        <f t="shared" si="22"/>
        <v>02406911202</v>
      </c>
      <c r="C483" t="s">
        <v>13</v>
      </c>
      <c r="D483" t="s">
        <v>37</v>
      </c>
      <c r="E483" t="s">
        <v>317</v>
      </c>
      <c r="F483" t="s">
        <v>89</v>
      </c>
      <c r="G483" t="str">
        <f>"07077990013"</f>
        <v>07077990013</v>
      </c>
      <c r="I483" t="s">
        <v>173</v>
      </c>
      <c r="L483" t="s">
        <v>45</v>
      </c>
      <c r="AJ483" s="1">
        <v>41638</v>
      </c>
    </row>
    <row r="484" spans="1:36" ht="15">
      <c r="A484" t="str">
        <f>"4996527085"</f>
        <v>4996527085</v>
      </c>
      <c r="B484" t="str">
        <f t="shared" si="22"/>
        <v>02406911202</v>
      </c>
      <c r="C484" t="s">
        <v>13</v>
      </c>
      <c r="D484" t="s">
        <v>37</v>
      </c>
      <c r="E484" t="s">
        <v>317</v>
      </c>
      <c r="F484" t="s">
        <v>89</v>
      </c>
      <c r="G484" t="str">
        <f>"00725050157"</f>
        <v>00725050157</v>
      </c>
      <c r="I484" t="s">
        <v>174</v>
      </c>
      <c r="L484" t="s">
        <v>45</v>
      </c>
      <c r="AJ484" s="1">
        <v>41638</v>
      </c>
    </row>
    <row r="485" spans="1:36" ht="15">
      <c r="A485" t="str">
        <f>"4996562D63"</f>
        <v>4996562D63</v>
      </c>
      <c r="B485" t="str">
        <f t="shared" si="22"/>
        <v>02406911202</v>
      </c>
      <c r="C485" t="s">
        <v>13</v>
      </c>
      <c r="D485" t="s">
        <v>37</v>
      </c>
      <c r="E485" t="s">
        <v>317</v>
      </c>
      <c r="F485" t="s">
        <v>89</v>
      </c>
      <c r="G485" t="str">
        <f>"00674840152"</f>
        <v>00674840152</v>
      </c>
      <c r="I485" t="s">
        <v>171</v>
      </c>
      <c r="L485" t="s">
        <v>45</v>
      </c>
      <c r="AJ485" s="1">
        <v>41638</v>
      </c>
    </row>
    <row r="486" spans="1:36" ht="15">
      <c r="A486" t="str">
        <f>"4996562D63"</f>
        <v>4996562D63</v>
      </c>
      <c r="B486" t="str">
        <f t="shared" si="22"/>
        <v>02406911202</v>
      </c>
      <c r="C486" t="s">
        <v>13</v>
      </c>
      <c r="D486" t="s">
        <v>37</v>
      </c>
      <c r="E486" t="s">
        <v>317</v>
      </c>
      <c r="F486" t="s">
        <v>89</v>
      </c>
      <c r="G486" t="str">
        <f>"05923071004"</f>
        <v>05923071004</v>
      </c>
      <c r="I486" t="s">
        <v>318</v>
      </c>
      <c r="L486" t="s">
        <v>45</v>
      </c>
      <c r="AJ486" s="1">
        <v>41638</v>
      </c>
    </row>
    <row r="487" spans="1:36" ht="15">
      <c r="A487" t="str">
        <f>"4996562D63"</f>
        <v>4996562D63</v>
      </c>
      <c r="B487" t="str">
        <f t="shared" si="22"/>
        <v>02406911202</v>
      </c>
      <c r="C487" t="s">
        <v>13</v>
      </c>
      <c r="D487" t="s">
        <v>37</v>
      </c>
      <c r="E487" t="s">
        <v>317</v>
      </c>
      <c r="F487" t="s">
        <v>89</v>
      </c>
      <c r="G487" t="str">
        <f>"08082461008"</f>
        <v>08082461008</v>
      </c>
      <c r="I487" t="s">
        <v>132</v>
      </c>
      <c r="L487" t="s">
        <v>41</v>
      </c>
      <c r="M487">
        <v>99600</v>
      </c>
      <c r="AG487">
        <v>91300</v>
      </c>
      <c r="AH487" s="1">
        <v>41395</v>
      </c>
      <c r="AI487" s="1">
        <v>42124</v>
      </c>
      <c r="AJ487" s="1">
        <v>41638</v>
      </c>
    </row>
    <row r="488" spans="1:36" ht="15">
      <c r="A488" t="str">
        <f>"4996562D63"</f>
        <v>4996562D63</v>
      </c>
      <c r="B488" t="str">
        <f t="shared" si="22"/>
        <v>02406911202</v>
      </c>
      <c r="C488" t="s">
        <v>13</v>
      </c>
      <c r="D488" t="s">
        <v>37</v>
      </c>
      <c r="E488" t="s">
        <v>317</v>
      </c>
      <c r="F488" t="s">
        <v>89</v>
      </c>
      <c r="G488" t="str">
        <f>"07077990013"</f>
        <v>07077990013</v>
      </c>
      <c r="I488" t="s">
        <v>173</v>
      </c>
      <c r="L488" t="s">
        <v>45</v>
      </c>
      <c r="AJ488" s="1">
        <v>41638</v>
      </c>
    </row>
    <row r="489" spans="1:36" ht="15">
      <c r="A489" t="str">
        <f>"4996562D63"</f>
        <v>4996562D63</v>
      </c>
      <c r="B489" t="str">
        <f t="shared" si="22"/>
        <v>02406911202</v>
      </c>
      <c r="C489" t="s">
        <v>13</v>
      </c>
      <c r="D489" t="s">
        <v>37</v>
      </c>
      <c r="E489" t="s">
        <v>317</v>
      </c>
      <c r="F489" t="s">
        <v>89</v>
      </c>
      <c r="G489" t="str">
        <f>"00725050157"</f>
        <v>00725050157</v>
      </c>
      <c r="I489" t="s">
        <v>174</v>
      </c>
      <c r="L489" t="s">
        <v>45</v>
      </c>
      <c r="AJ489" s="1">
        <v>41638</v>
      </c>
    </row>
    <row r="490" spans="1:36" ht="15">
      <c r="A490" t="str">
        <f>"488488811A"</f>
        <v>488488811A</v>
      </c>
      <c r="B490" t="str">
        <f t="shared" si="22"/>
        <v>02406911202</v>
      </c>
      <c r="C490" t="s">
        <v>13</v>
      </c>
      <c r="D490" t="s">
        <v>37</v>
      </c>
      <c r="E490" t="s">
        <v>319</v>
      </c>
      <c r="F490" t="s">
        <v>89</v>
      </c>
      <c r="G490" t="str">
        <f>"03597020373"</f>
        <v>03597020373</v>
      </c>
      <c r="I490" t="s">
        <v>100</v>
      </c>
      <c r="L490" t="s">
        <v>41</v>
      </c>
      <c r="M490">
        <v>38800</v>
      </c>
      <c r="AG490">
        <v>38800</v>
      </c>
      <c r="AH490" s="1">
        <v>41399</v>
      </c>
      <c r="AI490" s="1">
        <v>41639</v>
      </c>
      <c r="AJ490" s="1">
        <v>41638</v>
      </c>
    </row>
    <row r="491" spans="1:36" ht="15">
      <c r="A491" t="str">
        <f>"488488811A"</f>
        <v>488488811A</v>
      </c>
      <c r="B491" t="str">
        <f t="shared" si="22"/>
        <v>02406911202</v>
      </c>
      <c r="C491" t="s">
        <v>13</v>
      </c>
      <c r="D491" t="s">
        <v>37</v>
      </c>
      <c r="E491" t="s">
        <v>319</v>
      </c>
      <c r="F491" t="s">
        <v>89</v>
      </c>
      <c r="G491" t="str">
        <f>"04156880371"</f>
        <v>04156880371</v>
      </c>
      <c r="I491" t="s">
        <v>320</v>
      </c>
      <c r="L491" t="s">
        <v>45</v>
      </c>
      <c r="AJ491" s="1">
        <v>41638</v>
      </c>
    </row>
    <row r="492" spans="1:36" ht="15">
      <c r="A492" t="str">
        <f>"488488811A"</f>
        <v>488488811A</v>
      </c>
      <c r="B492" t="str">
        <f t="shared" si="22"/>
        <v>02406911202</v>
      </c>
      <c r="C492" t="s">
        <v>13</v>
      </c>
      <c r="D492" t="s">
        <v>37</v>
      </c>
      <c r="E492" t="s">
        <v>319</v>
      </c>
      <c r="F492" t="s">
        <v>89</v>
      </c>
      <c r="G492" t="str">
        <f>"11159150157"</f>
        <v>11159150157</v>
      </c>
      <c r="I492" t="s">
        <v>321</v>
      </c>
      <c r="L492" t="s">
        <v>45</v>
      </c>
      <c r="AJ492" s="1">
        <v>41638</v>
      </c>
    </row>
    <row r="493" spans="1:36" ht="15">
      <c r="A493" t="str">
        <f>"488488811A"</f>
        <v>488488811A</v>
      </c>
      <c r="B493" t="str">
        <f t="shared" si="22"/>
        <v>02406911202</v>
      </c>
      <c r="C493" t="s">
        <v>13</v>
      </c>
      <c r="D493" t="s">
        <v>37</v>
      </c>
      <c r="E493" t="s">
        <v>319</v>
      </c>
      <c r="F493" t="s">
        <v>89</v>
      </c>
      <c r="G493" t="str">
        <f>"00495451205"</f>
        <v>00495451205</v>
      </c>
      <c r="I493" t="s">
        <v>183</v>
      </c>
      <c r="L493" t="s">
        <v>45</v>
      </c>
      <c r="AJ493" s="1">
        <v>41638</v>
      </c>
    </row>
    <row r="494" spans="1:36" ht="15">
      <c r="A494" t="str">
        <f>"488488811A"</f>
        <v>488488811A</v>
      </c>
      <c r="B494" t="str">
        <f t="shared" si="22"/>
        <v>02406911202</v>
      </c>
      <c r="C494" t="s">
        <v>13</v>
      </c>
      <c r="D494" t="s">
        <v>37</v>
      </c>
      <c r="E494" t="s">
        <v>319</v>
      </c>
      <c r="F494" t="s">
        <v>89</v>
      </c>
      <c r="G494" t="str">
        <f>"06636280155"</f>
        <v>06636280155</v>
      </c>
      <c r="I494" t="s">
        <v>322</v>
      </c>
      <c r="L494" t="s">
        <v>45</v>
      </c>
      <c r="AJ494" s="1">
        <v>41638</v>
      </c>
    </row>
    <row r="495" spans="1:36" ht="15">
      <c r="A495" t="str">
        <f>"50408565F6"</f>
        <v>50408565F6</v>
      </c>
      <c r="B495" t="str">
        <f t="shared" si="22"/>
        <v>02406911202</v>
      </c>
      <c r="C495" t="s">
        <v>13</v>
      </c>
      <c r="D495" t="s">
        <v>37</v>
      </c>
      <c r="E495" t="s">
        <v>323</v>
      </c>
      <c r="F495" t="s">
        <v>43</v>
      </c>
      <c r="G495" t="str">
        <f>"02414961207"</f>
        <v>02414961207</v>
      </c>
      <c r="I495" t="s">
        <v>324</v>
      </c>
      <c r="L495" t="s">
        <v>41</v>
      </c>
      <c r="M495">
        <v>300000</v>
      </c>
      <c r="AG495">
        <v>344598.33</v>
      </c>
      <c r="AH495" s="1">
        <v>41386</v>
      </c>
      <c r="AI495" s="1">
        <v>42846</v>
      </c>
      <c r="AJ495" s="1">
        <v>41638</v>
      </c>
    </row>
    <row r="496" spans="1:36" ht="15">
      <c r="A496" t="str">
        <f>"5046714822"</f>
        <v>5046714822</v>
      </c>
      <c r="B496" t="str">
        <f t="shared" si="22"/>
        <v>02406911202</v>
      </c>
      <c r="C496" t="s">
        <v>13</v>
      </c>
      <c r="D496" t="s">
        <v>37</v>
      </c>
      <c r="E496" t="s">
        <v>325</v>
      </c>
      <c r="F496" t="s">
        <v>86</v>
      </c>
      <c r="G496" t="str">
        <f>"10220860158"</f>
        <v>10220860158</v>
      </c>
      <c r="I496" t="s">
        <v>326</v>
      </c>
      <c r="L496" t="s">
        <v>41</v>
      </c>
      <c r="M496">
        <v>25989</v>
      </c>
      <c r="AG496">
        <v>62848.74</v>
      </c>
      <c r="AH496" s="1">
        <v>41426</v>
      </c>
      <c r="AI496" s="1">
        <v>41426</v>
      </c>
      <c r="AJ496" s="1">
        <v>41638</v>
      </c>
    </row>
    <row r="497" spans="1:36" ht="15">
      <c r="A497" t="str">
        <f>"505654481B"</f>
        <v>505654481B</v>
      </c>
      <c r="B497" t="str">
        <f t="shared" si="22"/>
        <v>02406911202</v>
      </c>
      <c r="C497" t="s">
        <v>13</v>
      </c>
      <c r="D497" t="s">
        <v>37</v>
      </c>
      <c r="E497" t="s">
        <v>327</v>
      </c>
      <c r="F497" t="s">
        <v>86</v>
      </c>
      <c r="G497" t="str">
        <f>"04384410017"</f>
        <v>04384410017</v>
      </c>
      <c r="I497" t="s">
        <v>328</v>
      </c>
      <c r="L497" t="s">
        <v>41</v>
      </c>
      <c r="M497">
        <v>40137</v>
      </c>
      <c r="AG497">
        <v>33346.8</v>
      </c>
      <c r="AH497" s="1">
        <v>41365</v>
      </c>
      <c r="AI497" s="1">
        <v>42094</v>
      </c>
      <c r="AJ497" s="1">
        <v>41638</v>
      </c>
    </row>
    <row r="498" spans="1:36" ht="15">
      <c r="A498" t="str">
        <f>"485373767A"</f>
        <v>485373767A</v>
      </c>
      <c r="B498" t="str">
        <f t="shared" si="22"/>
        <v>02406911202</v>
      </c>
      <c r="C498" t="s">
        <v>13</v>
      </c>
      <c r="D498" t="s">
        <v>37</v>
      </c>
      <c r="E498" t="s">
        <v>329</v>
      </c>
      <c r="F498" t="s">
        <v>86</v>
      </c>
      <c r="G498" t="str">
        <f>"08082461008"</f>
        <v>08082461008</v>
      </c>
      <c r="I498" t="s">
        <v>132</v>
      </c>
      <c r="L498" t="s">
        <v>41</v>
      </c>
      <c r="M498">
        <v>159381.12</v>
      </c>
      <c r="AG498">
        <v>125782.31</v>
      </c>
      <c r="AH498" s="1">
        <v>41379</v>
      </c>
      <c r="AI498" s="1">
        <v>42108</v>
      </c>
      <c r="AJ498" s="1">
        <v>41638</v>
      </c>
    </row>
    <row r="499" spans="1:36" ht="15">
      <c r="A499" t="str">
        <f>"4560280E17"</f>
        <v>4560280E17</v>
      </c>
      <c r="B499" t="str">
        <f t="shared" si="22"/>
        <v>02406911202</v>
      </c>
      <c r="C499" t="s">
        <v>13</v>
      </c>
      <c r="D499" t="s">
        <v>37</v>
      </c>
      <c r="E499" t="s">
        <v>330</v>
      </c>
      <c r="F499" t="s">
        <v>43</v>
      </c>
      <c r="G499" t="str">
        <f>"09053360153"</f>
        <v>09053360153</v>
      </c>
      <c r="I499" t="s">
        <v>331</v>
      </c>
      <c r="L499" t="s">
        <v>41</v>
      </c>
      <c r="M499">
        <v>26858</v>
      </c>
      <c r="AG499">
        <v>115287.6</v>
      </c>
      <c r="AH499" s="1">
        <v>41383</v>
      </c>
      <c r="AI499" s="1">
        <v>42312</v>
      </c>
      <c r="AJ499" s="1">
        <v>41638</v>
      </c>
    </row>
    <row r="500" spans="1:36" ht="15">
      <c r="A500" t="str">
        <f aca="true" t="shared" si="24" ref="A500:A511">"50689505DD"</f>
        <v>50689505DD</v>
      </c>
      <c r="B500" t="str">
        <f t="shared" si="22"/>
        <v>02406911202</v>
      </c>
      <c r="C500" t="s">
        <v>13</v>
      </c>
      <c r="D500" t="s">
        <v>37</v>
      </c>
      <c r="E500" t="s">
        <v>332</v>
      </c>
      <c r="F500" t="s">
        <v>89</v>
      </c>
      <c r="G500" t="str">
        <f>"11160660152"</f>
        <v>11160660152</v>
      </c>
      <c r="I500" t="s">
        <v>333</v>
      </c>
      <c r="L500" t="s">
        <v>45</v>
      </c>
      <c r="AJ500" s="1">
        <v>41638</v>
      </c>
    </row>
    <row r="501" spans="1:36" ht="15">
      <c r="A501" t="str">
        <f t="shared" si="24"/>
        <v>50689505DD</v>
      </c>
      <c r="B501" t="str">
        <f t="shared" si="22"/>
        <v>02406911202</v>
      </c>
      <c r="C501" t="s">
        <v>13</v>
      </c>
      <c r="D501" t="s">
        <v>37</v>
      </c>
      <c r="E501" t="s">
        <v>332</v>
      </c>
      <c r="F501" t="s">
        <v>89</v>
      </c>
      <c r="G501" t="str">
        <f>"04923960159"</f>
        <v>04923960159</v>
      </c>
      <c r="I501" t="s">
        <v>334</v>
      </c>
      <c r="L501" t="s">
        <v>45</v>
      </c>
      <c r="AJ501" s="1">
        <v>41638</v>
      </c>
    </row>
    <row r="502" spans="1:36" ht="15">
      <c r="A502" t="str">
        <f t="shared" si="24"/>
        <v>50689505DD</v>
      </c>
      <c r="B502" t="str">
        <f t="shared" si="22"/>
        <v>02406911202</v>
      </c>
      <c r="C502" t="s">
        <v>13</v>
      </c>
      <c r="D502" t="s">
        <v>37</v>
      </c>
      <c r="E502" t="s">
        <v>332</v>
      </c>
      <c r="F502" t="s">
        <v>89</v>
      </c>
      <c r="G502" t="str">
        <f>"00227010139"</f>
        <v>00227010139</v>
      </c>
      <c r="I502" t="s">
        <v>335</v>
      </c>
      <c r="L502" t="s">
        <v>45</v>
      </c>
      <c r="AJ502" s="1">
        <v>41638</v>
      </c>
    </row>
    <row r="503" spans="1:36" ht="15">
      <c r="A503" t="str">
        <f t="shared" si="24"/>
        <v>50689505DD</v>
      </c>
      <c r="B503" t="str">
        <f t="shared" si="22"/>
        <v>02406911202</v>
      </c>
      <c r="C503" t="s">
        <v>13</v>
      </c>
      <c r="D503" t="s">
        <v>37</v>
      </c>
      <c r="E503" t="s">
        <v>332</v>
      </c>
      <c r="F503" t="s">
        <v>89</v>
      </c>
      <c r="G503" t="str">
        <f>"02614230015"</f>
        <v>02614230015</v>
      </c>
      <c r="I503" t="s">
        <v>336</v>
      </c>
      <c r="L503" t="s">
        <v>45</v>
      </c>
      <c r="AJ503" s="1">
        <v>41638</v>
      </c>
    </row>
    <row r="504" spans="1:36" ht="15">
      <c r="A504" t="str">
        <f t="shared" si="24"/>
        <v>50689505DD</v>
      </c>
      <c r="B504" t="str">
        <f t="shared" si="22"/>
        <v>02406911202</v>
      </c>
      <c r="C504" t="s">
        <v>13</v>
      </c>
      <c r="D504" t="s">
        <v>37</v>
      </c>
      <c r="E504" t="s">
        <v>332</v>
      </c>
      <c r="F504" t="s">
        <v>89</v>
      </c>
      <c r="G504" t="str">
        <f>"00549731206"</f>
        <v>00549731206</v>
      </c>
      <c r="I504" t="s">
        <v>157</v>
      </c>
      <c r="L504" t="s">
        <v>45</v>
      </c>
      <c r="AJ504" s="1">
        <v>41638</v>
      </c>
    </row>
    <row r="505" spans="1:36" ht="15">
      <c r="A505" t="str">
        <f t="shared" si="24"/>
        <v>50689505DD</v>
      </c>
      <c r="B505" t="str">
        <f t="shared" si="22"/>
        <v>02406911202</v>
      </c>
      <c r="C505" t="s">
        <v>13</v>
      </c>
      <c r="D505" t="s">
        <v>37</v>
      </c>
      <c r="E505" t="s">
        <v>332</v>
      </c>
      <c r="F505" t="s">
        <v>89</v>
      </c>
      <c r="G505" t="str">
        <f>"05840290968"</f>
        <v>05840290968</v>
      </c>
      <c r="I505" t="s">
        <v>337</v>
      </c>
      <c r="L505" t="s">
        <v>45</v>
      </c>
      <c r="AJ505" s="1">
        <v>41638</v>
      </c>
    </row>
    <row r="506" spans="1:36" ht="15">
      <c r="A506" t="str">
        <f t="shared" si="24"/>
        <v>50689505DD</v>
      </c>
      <c r="B506" t="str">
        <f t="shared" si="22"/>
        <v>02406911202</v>
      </c>
      <c r="C506" t="s">
        <v>13</v>
      </c>
      <c r="D506" t="s">
        <v>37</v>
      </c>
      <c r="E506" t="s">
        <v>332</v>
      </c>
      <c r="F506" t="s">
        <v>89</v>
      </c>
      <c r="G506" t="str">
        <f>"03578710729"</f>
        <v>03578710729</v>
      </c>
      <c r="I506" t="s">
        <v>338</v>
      </c>
      <c r="L506" t="s">
        <v>45</v>
      </c>
      <c r="AJ506" s="1">
        <v>41638</v>
      </c>
    </row>
    <row r="507" spans="1:36" ht="15">
      <c r="A507" t="str">
        <f t="shared" si="24"/>
        <v>50689505DD</v>
      </c>
      <c r="B507" t="str">
        <f t="shared" si="22"/>
        <v>02406911202</v>
      </c>
      <c r="C507" t="s">
        <v>13</v>
      </c>
      <c r="D507" t="s">
        <v>37</v>
      </c>
      <c r="E507" t="s">
        <v>332</v>
      </c>
      <c r="F507" t="s">
        <v>89</v>
      </c>
      <c r="G507" t="str">
        <f>"00615700374"</f>
        <v>00615700374</v>
      </c>
      <c r="I507" t="s">
        <v>172</v>
      </c>
      <c r="L507" t="s">
        <v>45</v>
      </c>
      <c r="AJ507" s="1">
        <v>41638</v>
      </c>
    </row>
    <row r="508" spans="1:36" ht="15">
      <c r="A508" t="str">
        <f t="shared" si="24"/>
        <v>50689505DD</v>
      </c>
      <c r="B508" t="str">
        <f t="shared" si="22"/>
        <v>02406911202</v>
      </c>
      <c r="C508" t="s">
        <v>13</v>
      </c>
      <c r="D508" t="s">
        <v>37</v>
      </c>
      <c r="E508" t="s">
        <v>332</v>
      </c>
      <c r="F508" t="s">
        <v>89</v>
      </c>
      <c r="G508" t="str">
        <f>"11159150157"</f>
        <v>11159150157</v>
      </c>
      <c r="I508" t="s">
        <v>321</v>
      </c>
      <c r="L508" t="s">
        <v>45</v>
      </c>
      <c r="AJ508" s="1">
        <v>41638</v>
      </c>
    </row>
    <row r="509" spans="1:36" ht="15">
      <c r="A509" t="str">
        <f t="shared" si="24"/>
        <v>50689505DD</v>
      </c>
      <c r="B509" t="str">
        <f t="shared" si="22"/>
        <v>02406911202</v>
      </c>
      <c r="C509" t="s">
        <v>13</v>
      </c>
      <c r="D509" t="s">
        <v>37</v>
      </c>
      <c r="E509" t="s">
        <v>332</v>
      </c>
      <c r="F509" t="s">
        <v>89</v>
      </c>
      <c r="G509" t="str">
        <f>"01633870348"</f>
        <v>01633870348</v>
      </c>
      <c r="I509" t="s">
        <v>164</v>
      </c>
      <c r="L509" t="s">
        <v>45</v>
      </c>
      <c r="AJ509" s="1">
        <v>41638</v>
      </c>
    </row>
    <row r="510" spans="1:36" ht="15">
      <c r="A510" t="str">
        <f t="shared" si="24"/>
        <v>50689505DD</v>
      </c>
      <c r="B510" t="str">
        <f t="shared" si="22"/>
        <v>02406911202</v>
      </c>
      <c r="C510" t="s">
        <v>13</v>
      </c>
      <c r="D510" t="s">
        <v>37</v>
      </c>
      <c r="E510" t="s">
        <v>332</v>
      </c>
      <c r="F510" t="s">
        <v>89</v>
      </c>
      <c r="G510" t="str">
        <f>"06324460150"</f>
        <v>06324460150</v>
      </c>
      <c r="I510" t="s">
        <v>166</v>
      </c>
      <c r="L510" t="s">
        <v>41</v>
      </c>
      <c r="M510">
        <v>38700</v>
      </c>
      <c r="AG510">
        <v>52000</v>
      </c>
      <c r="AH510" s="1">
        <v>41395</v>
      </c>
      <c r="AI510" s="1">
        <v>42490</v>
      </c>
      <c r="AJ510" s="1">
        <v>41638</v>
      </c>
    </row>
    <row r="511" spans="1:36" ht="15">
      <c r="A511" t="str">
        <f t="shared" si="24"/>
        <v>50689505DD</v>
      </c>
      <c r="B511" t="str">
        <f t="shared" si="22"/>
        <v>02406911202</v>
      </c>
      <c r="C511" t="s">
        <v>13</v>
      </c>
      <c r="D511" t="s">
        <v>37</v>
      </c>
      <c r="E511" t="s">
        <v>332</v>
      </c>
      <c r="F511" t="s">
        <v>89</v>
      </c>
      <c r="G511" t="str">
        <f>"00100190610"</f>
        <v>00100190610</v>
      </c>
      <c r="I511" t="s">
        <v>227</v>
      </c>
      <c r="L511" t="s">
        <v>45</v>
      </c>
      <c r="AJ511" s="1">
        <v>41638</v>
      </c>
    </row>
    <row r="512" spans="1:36" ht="15">
      <c r="A512" t="str">
        <f>"49589059DA"</f>
        <v>49589059DA</v>
      </c>
      <c r="B512" t="str">
        <f t="shared" si="22"/>
        <v>02406911202</v>
      </c>
      <c r="C512" t="s">
        <v>13</v>
      </c>
      <c r="D512" t="s">
        <v>37</v>
      </c>
      <c r="E512" t="s">
        <v>339</v>
      </c>
      <c r="F512" t="s">
        <v>86</v>
      </c>
      <c r="G512" t="str">
        <f>"01847901202"</f>
        <v>01847901202</v>
      </c>
      <c r="I512" t="s">
        <v>340</v>
      </c>
      <c r="L512" t="s">
        <v>41</v>
      </c>
      <c r="M512">
        <v>28900</v>
      </c>
      <c r="AG512">
        <v>28900</v>
      </c>
      <c r="AH512" s="1">
        <v>41387</v>
      </c>
      <c r="AI512" s="1">
        <v>41639</v>
      </c>
      <c r="AJ512" s="1">
        <v>41638</v>
      </c>
    </row>
    <row r="513" spans="1:36" ht="15">
      <c r="A513" t="str">
        <f>"5078207CF9"</f>
        <v>5078207CF9</v>
      </c>
      <c r="B513" t="str">
        <f t="shared" si="22"/>
        <v>02406911202</v>
      </c>
      <c r="C513" t="s">
        <v>13</v>
      </c>
      <c r="D513" t="s">
        <v>37</v>
      </c>
      <c r="E513" t="s">
        <v>341</v>
      </c>
      <c r="F513" t="s">
        <v>86</v>
      </c>
      <c r="G513" t="str">
        <f>"06032681006"</f>
        <v>06032681006</v>
      </c>
      <c r="I513" t="s">
        <v>342</v>
      </c>
      <c r="L513" t="s">
        <v>41</v>
      </c>
      <c r="M513">
        <v>136932</v>
      </c>
      <c r="AG513">
        <v>148360.14</v>
      </c>
      <c r="AH513" s="1">
        <v>41395</v>
      </c>
      <c r="AI513" s="1">
        <v>42124</v>
      </c>
      <c r="AJ513" s="1">
        <v>41638</v>
      </c>
    </row>
    <row r="514" spans="1:36" ht="15">
      <c r="A514" t="str">
        <f>"5085237652"</f>
        <v>5085237652</v>
      </c>
      <c r="B514" t="str">
        <f aca="true" t="shared" si="25" ref="B514:B577">"02406911202"</f>
        <v>02406911202</v>
      </c>
      <c r="C514" t="s">
        <v>13</v>
      </c>
      <c r="D514" t="s">
        <v>37</v>
      </c>
      <c r="E514" t="s">
        <v>343</v>
      </c>
      <c r="F514" t="s">
        <v>86</v>
      </c>
      <c r="G514" t="str">
        <f>"00674840152"</f>
        <v>00674840152</v>
      </c>
      <c r="I514" t="s">
        <v>171</v>
      </c>
      <c r="L514" t="s">
        <v>41</v>
      </c>
      <c r="M514">
        <v>78456</v>
      </c>
      <c r="AG514">
        <v>74007.12</v>
      </c>
      <c r="AH514" s="1">
        <v>41388</v>
      </c>
      <c r="AI514" s="1">
        <v>42117</v>
      </c>
      <c r="AJ514" s="1">
        <v>41638</v>
      </c>
    </row>
    <row r="515" spans="1:36" ht="15">
      <c r="A515" t="str">
        <f>"5085263BC5"</f>
        <v>5085263BC5</v>
      </c>
      <c r="B515" t="str">
        <f t="shared" si="25"/>
        <v>02406911202</v>
      </c>
      <c r="C515" t="s">
        <v>13</v>
      </c>
      <c r="D515" t="s">
        <v>37</v>
      </c>
      <c r="E515" t="s">
        <v>343</v>
      </c>
      <c r="F515" t="s">
        <v>86</v>
      </c>
      <c r="G515" t="str">
        <f>"06209390969"</f>
        <v>06209390969</v>
      </c>
      <c r="I515" t="s">
        <v>344</v>
      </c>
      <c r="L515" t="s">
        <v>41</v>
      </c>
      <c r="M515">
        <v>675237</v>
      </c>
      <c r="AG515">
        <v>554167.13</v>
      </c>
      <c r="AH515" s="1">
        <v>41388</v>
      </c>
      <c r="AI515" s="1">
        <v>42117</v>
      </c>
      <c r="AJ515" s="1">
        <v>41638</v>
      </c>
    </row>
    <row r="516" spans="1:36" ht="15">
      <c r="A516" t="str">
        <f>"50852755AE"</f>
        <v>50852755AE</v>
      </c>
      <c r="B516" t="str">
        <f t="shared" si="25"/>
        <v>02406911202</v>
      </c>
      <c r="C516" t="s">
        <v>13</v>
      </c>
      <c r="D516" t="s">
        <v>37</v>
      </c>
      <c r="E516" t="s">
        <v>343</v>
      </c>
      <c r="F516" t="s">
        <v>86</v>
      </c>
      <c r="G516" t="str">
        <f>"00691781207"</f>
        <v>00691781207</v>
      </c>
      <c r="I516" t="s">
        <v>345</v>
      </c>
      <c r="L516" t="s">
        <v>41</v>
      </c>
      <c r="M516">
        <v>410900</v>
      </c>
      <c r="AG516">
        <v>689374.61</v>
      </c>
      <c r="AH516" s="1">
        <v>41388</v>
      </c>
      <c r="AI516" s="1">
        <v>42117</v>
      </c>
      <c r="AJ516" s="1">
        <v>41638</v>
      </c>
    </row>
    <row r="517" spans="1:36" ht="15">
      <c r="A517" t="str">
        <f>"5085296702"</f>
        <v>5085296702</v>
      </c>
      <c r="B517" t="str">
        <f t="shared" si="25"/>
        <v>02406911202</v>
      </c>
      <c r="C517" t="s">
        <v>13</v>
      </c>
      <c r="D517" t="s">
        <v>37</v>
      </c>
      <c r="E517" t="s">
        <v>343</v>
      </c>
      <c r="F517" t="s">
        <v>86</v>
      </c>
      <c r="G517" t="str">
        <f>"12085140155"</f>
        <v>12085140155</v>
      </c>
      <c r="I517" t="s">
        <v>346</v>
      </c>
      <c r="L517" t="s">
        <v>41</v>
      </c>
      <c r="M517">
        <v>22810</v>
      </c>
      <c r="AG517">
        <v>17915.68</v>
      </c>
      <c r="AH517" s="1">
        <v>41388</v>
      </c>
      <c r="AI517" s="1">
        <v>42117</v>
      </c>
      <c r="AJ517" s="1">
        <v>41638</v>
      </c>
    </row>
    <row r="518" spans="1:36" ht="15">
      <c r="A518" t="str">
        <f>"5085320ACF"</f>
        <v>5085320ACF</v>
      </c>
      <c r="B518" t="str">
        <f t="shared" si="25"/>
        <v>02406911202</v>
      </c>
      <c r="C518" t="s">
        <v>13</v>
      </c>
      <c r="D518" t="s">
        <v>37</v>
      </c>
      <c r="E518" t="s">
        <v>343</v>
      </c>
      <c r="F518" t="s">
        <v>86</v>
      </c>
      <c r="G518" t="str">
        <f>"01281650174"</f>
        <v>01281650174</v>
      </c>
      <c r="I518" t="s">
        <v>347</v>
      </c>
      <c r="L518" t="s">
        <v>41</v>
      </c>
      <c r="M518">
        <v>2016</v>
      </c>
      <c r="AG518">
        <v>1652.7</v>
      </c>
      <c r="AH518" s="1">
        <v>41388</v>
      </c>
      <c r="AI518" s="1">
        <v>42117</v>
      </c>
      <c r="AJ518" s="1">
        <v>41638</v>
      </c>
    </row>
    <row r="519" spans="1:36" ht="15">
      <c r="A519" t="str">
        <f>"508533358B"</f>
        <v>508533358B</v>
      </c>
      <c r="B519" t="str">
        <f t="shared" si="25"/>
        <v>02406911202</v>
      </c>
      <c r="C519" t="s">
        <v>13</v>
      </c>
      <c r="D519" t="s">
        <v>37</v>
      </c>
      <c r="E519" t="s">
        <v>343</v>
      </c>
      <c r="F519" t="s">
        <v>86</v>
      </c>
      <c r="G519" t="str">
        <f>"93517310152"</f>
        <v>93517310152</v>
      </c>
      <c r="I519" t="s">
        <v>348</v>
      </c>
      <c r="L519" t="s">
        <v>41</v>
      </c>
      <c r="M519">
        <v>360622</v>
      </c>
      <c r="AG519">
        <v>341030.49</v>
      </c>
      <c r="AH519" s="1">
        <v>41388</v>
      </c>
      <c r="AI519" s="1">
        <v>42117</v>
      </c>
      <c r="AJ519" s="1">
        <v>41638</v>
      </c>
    </row>
    <row r="520" spans="1:36" ht="15">
      <c r="A520" t="str">
        <f>"50853481ED"</f>
        <v>50853481ED</v>
      </c>
      <c r="B520" t="str">
        <f t="shared" si="25"/>
        <v>02406911202</v>
      </c>
      <c r="C520" t="s">
        <v>13</v>
      </c>
      <c r="D520" t="s">
        <v>37</v>
      </c>
      <c r="E520" t="s">
        <v>343</v>
      </c>
      <c r="F520" t="s">
        <v>86</v>
      </c>
      <c r="G520" t="str">
        <f>"07774890151"</f>
        <v>07774890151</v>
      </c>
      <c r="I520" t="s">
        <v>349</v>
      </c>
      <c r="L520" t="s">
        <v>41</v>
      </c>
      <c r="M520">
        <v>71017</v>
      </c>
      <c r="AG520">
        <v>169652.83</v>
      </c>
      <c r="AH520" s="1">
        <v>41388</v>
      </c>
      <c r="AI520" s="1">
        <v>42117</v>
      </c>
      <c r="AJ520" s="1">
        <v>41638</v>
      </c>
    </row>
    <row r="521" spans="1:36" ht="15">
      <c r="A521" t="str">
        <f>"5085363E4A"</f>
        <v>5085363E4A</v>
      </c>
      <c r="B521" t="str">
        <f t="shared" si="25"/>
        <v>02406911202</v>
      </c>
      <c r="C521" t="s">
        <v>13</v>
      </c>
      <c r="D521" t="s">
        <v>37</v>
      </c>
      <c r="E521" t="s">
        <v>343</v>
      </c>
      <c r="F521" t="s">
        <v>86</v>
      </c>
      <c r="G521" t="str">
        <f>"06324460150"</f>
        <v>06324460150</v>
      </c>
      <c r="I521" t="s">
        <v>166</v>
      </c>
      <c r="L521" t="s">
        <v>41</v>
      </c>
      <c r="M521">
        <v>8742</v>
      </c>
      <c r="AG521">
        <v>48412.71</v>
      </c>
      <c r="AH521" s="1">
        <v>41388</v>
      </c>
      <c r="AI521" s="1">
        <v>42117</v>
      </c>
      <c r="AJ521" s="1">
        <v>41638</v>
      </c>
    </row>
    <row r="522" spans="1:36" ht="15">
      <c r="A522" t="str">
        <f>"5085380C52"</f>
        <v>5085380C52</v>
      </c>
      <c r="B522" t="str">
        <f t="shared" si="25"/>
        <v>02406911202</v>
      </c>
      <c r="C522" t="s">
        <v>13</v>
      </c>
      <c r="D522" t="s">
        <v>37</v>
      </c>
      <c r="E522" t="s">
        <v>343</v>
      </c>
      <c r="F522" t="s">
        <v>86</v>
      </c>
      <c r="G522" t="str">
        <f>"00244540100"</f>
        <v>00244540100</v>
      </c>
      <c r="I522" t="s">
        <v>350</v>
      </c>
      <c r="L522" t="s">
        <v>41</v>
      </c>
      <c r="M522">
        <v>74160</v>
      </c>
      <c r="AG522">
        <v>58688.71</v>
      </c>
      <c r="AH522" s="1">
        <v>41388</v>
      </c>
      <c r="AI522" s="1">
        <v>42117</v>
      </c>
      <c r="AJ522" s="1">
        <v>41638</v>
      </c>
    </row>
    <row r="523" spans="1:36" ht="15">
      <c r="A523" t="str">
        <f>"5085403F4C"</f>
        <v>5085403F4C</v>
      </c>
      <c r="B523" t="str">
        <f t="shared" si="25"/>
        <v>02406911202</v>
      </c>
      <c r="C523" t="s">
        <v>13</v>
      </c>
      <c r="D523" t="s">
        <v>37</v>
      </c>
      <c r="E523" t="s">
        <v>343</v>
      </c>
      <c r="F523" t="s">
        <v>86</v>
      </c>
      <c r="G523" t="str">
        <f>"09238800156"</f>
        <v>09238800156</v>
      </c>
      <c r="I523" t="s">
        <v>257</v>
      </c>
      <c r="L523" t="s">
        <v>41</v>
      </c>
      <c r="M523">
        <v>68024</v>
      </c>
      <c r="AG523">
        <v>517222.15</v>
      </c>
      <c r="AH523" s="1">
        <v>41388</v>
      </c>
      <c r="AI523" s="1">
        <v>42117</v>
      </c>
      <c r="AJ523" s="1">
        <v>41638</v>
      </c>
    </row>
    <row r="524" spans="1:36" ht="15">
      <c r="A524" t="str">
        <f>"5085419C81"</f>
        <v>5085419C81</v>
      </c>
      <c r="B524" t="str">
        <f t="shared" si="25"/>
        <v>02406911202</v>
      </c>
      <c r="C524" t="s">
        <v>13</v>
      </c>
      <c r="D524" t="s">
        <v>37</v>
      </c>
      <c r="E524" t="s">
        <v>343</v>
      </c>
      <c r="F524" t="s">
        <v>86</v>
      </c>
      <c r="G524" t="str">
        <f>"00747170157"</f>
        <v>00747170157</v>
      </c>
      <c r="I524" t="s">
        <v>351</v>
      </c>
      <c r="L524" t="s">
        <v>41</v>
      </c>
      <c r="M524">
        <v>163654</v>
      </c>
      <c r="AG524">
        <v>155006.65</v>
      </c>
      <c r="AH524" s="1">
        <v>41388</v>
      </c>
      <c r="AI524" s="1">
        <v>42117</v>
      </c>
      <c r="AJ524" s="1">
        <v>41638</v>
      </c>
    </row>
    <row r="525" spans="1:36" ht="15">
      <c r="A525" t="str">
        <f>"5075837931"</f>
        <v>5075837931</v>
      </c>
      <c r="B525" t="str">
        <f t="shared" si="25"/>
        <v>02406911202</v>
      </c>
      <c r="C525" t="s">
        <v>13</v>
      </c>
      <c r="D525" t="s">
        <v>37</v>
      </c>
      <c r="E525" t="s">
        <v>352</v>
      </c>
      <c r="F525" t="s">
        <v>353</v>
      </c>
      <c r="G525" t="str">
        <f>"05215890483"</f>
        <v>05215890483</v>
      </c>
      <c r="I525" t="s">
        <v>299</v>
      </c>
      <c r="L525" t="s">
        <v>41</v>
      </c>
      <c r="M525">
        <v>1283680.55</v>
      </c>
      <c r="AG525">
        <v>4938337.72</v>
      </c>
      <c r="AH525" s="1">
        <v>41426</v>
      </c>
      <c r="AI525" s="1">
        <v>41790</v>
      </c>
      <c r="AJ525" s="1">
        <v>41638</v>
      </c>
    </row>
    <row r="526" spans="1:36" ht="15">
      <c r="A526" t="str">
        <f>"5094111162"</f>
        <v>5094111162</v>
      </c>
      <c r="B526" t="str">
        <f t="shared" si="25"/>
        <v>02406911202</v>
      </c>
      <c r="C526" t="s">
        <v>13</v>
      </c>
      <c r="D526" t="s">
        <v>37</v>
      </c>
      <c r="E526" t="s">
        <v>354</v>
      </c>
      <c r="F526" t="s">
        <v>353</v>
      </c>
      <c r="G526" t="str">
        <f>"04387641006"</f>
        <v>04387641006</v>
      </c>
      <c r="I526" t="s">
        <v>355</v>
      </c>
      <c r="L526" t="s">
        <v>41</v>
      </c>
      <c r="M526">
        <v>140496</v>
      </c>
      <c r="AG526">
        <v>564774.98</v>
      </c>
      <c r="AH526" s="1">
        <v>41395</v>
      </c>
      <c r="AI526" s="1">
        <v>41759</v>
      </c>
      <c r="AJ526" s="1">
        <v>41638</v>
      </c>
    </row>
    <row r="527" spans="1:36" ht="15">
      <c r="A527" t="str">
        <f>"ZB809CF529"</f>
        <v>ZB809CF529</v>
      </c>
      <c r="B527" t="str">
        <f t="shared" si="25"/>
        <v>02406911202</v>
      </c>
      <c r="C527" t="s">
        <v>13</v>
      </c>
      <c r="D527" t="s">
        <v>37</v>
      </c>
      <c r="E527" t="s">
        <v>356</v>
      </c>
      <c r="F527" t="s">
        <v>39</v>
      </c>
      <c r="G527" t="str">
        <f>"02333890289"</f>
        <v>02333890289</v>
      </c>
      <c r="I527" t="s">
        <v>357</v>
      </c>
      <c r="L527" t="s">
        <v>41</v>
      </c>
      <c r="M527">
        <v>1428</v>
      </c>
      <c r="AG527">
        <v>1427.85</v>
      </c>
      <c r="AH527" s="1">
        <v>41407</v>
      </c>
      <c r="AI527" s="1">
        <v>41455</v>
      </c>
      <c r="AJ527" s="1">
        <v>41638</v>
      </c>
    </row>
    <row r="528" spans="1:36" ht="15">
      <c r="A528" t="str">
        <f>"3942056F81"</f>
        <v>3942056F81</v>
      </c>
      <c r="B528" t="str">
        <f t="shared" si="25"/>
        <v>02406911202</v>
      </c>
      <c r="C528" t="s">
        <v>13</v>
      </c>
      <c r="D528" t="s">
        <v>37</v>
      </c>
      <c r="E528" t="s">
        <v>358</v>
      </c>
      <c r="F528" t="s">
        <v>86</v>
      </c>
      <c r="G528" t="str">
        <f>"06070001000"</f>
        <v>06070001000</v>
      </c>
      <c r="I528" t="s">
        <v>359</v>
      </c>
      <c r="L528" t="s">
        <v>41</v>
      </c>
      <c r="M528">
        <v>29670</v>
      </c>
      <c r="AG528">
        <v>14160</v>
      </c>
      <c r="AH528" s="1">
        <v>41406</v>
      </c>
      <c r="AI528" s="1">
        <v>42501</v>
      </c>
      <c r="AJ528" s="1">
        <v>41638</v>
      </c>
    </row>
    <row r="529" spans="1:36" ht="15">
      <c r="A529" t="str">
        <f aca="true" t="shared" si="26" ref="A529:A536">"5118315726"</f>
        <v>5118315726</v>
      </c>
      <c r="B529" t="str">
        <f t="shared" si="25"/>
        <v>02406911202</v>
      </c>
      <c r="C529" t="s">
        <v>13</v>
      </c>
      <c r="D529" t="s">
        <v>37</v>
      </c>
      <c r="E529" t="s">
        <v>360</v>
      </c>
      <c r="F529" t="s">
        <v>89</v>
      </c>
      <c r="G529" t="str">
        <f>"00502961204"</f>
        <v>00502961204</v>
      </c>
      <c r="I529" t="s">
        <v>361</v>
      </c>
      <c r="L529" t="s">
        <v>45</v>
      </c>
      <c r="AJ529" s="1">
        <v>41638</v>
      </c>
    </row>
    <row r="530" spans="1:36" ht="15">
      <c r="A530" t="str">
        <f t="shared" si="26"/>
        <v>5118315726</v>
      </c>
      <c r="B530" t="str">
        <f t="shared" si="25"/>
        <v>02406911202</v>
      </c>
      <c r="C530" t="s">
        <v>13</v>
      </c>
      <c r="D530" t="s">
        <v>37</v>
      </c>
      <c r="E530" t="s">
        <v>360</v>
      </c>
      <c r="F530" t="s">
        <v>89</v>
      </c>
      <c r="G530" t="str">
        <f>"07869740584"</f>
        <v>07869740584</v>
      </c>
      <c r="I530" t="s">
        <v>362</v>
      </c>
      <c r="L530" t="s">
        <v>41</v>
      </c>
      <c r="M530">
        <v>1971</v>
      </c>
      <c r="AG530">
        <v>0</v>
      </c>
      <c r="AH530" s="1">
        <v>41456</v>
      </c>
      <c r="AI530" s="1">
        <v>42185</v>
      </c>
      <c r="AJ530" s="1">
        <v>41638</v>
      </c>
    </row>
    <row r="531" spans="1:36" ht="15">
      <c r="A531" t="str">
        <f t="shared" si="26"/>
        <v>5118315726</v>
      </c>
      <c r="B531" t="str">
        <f t="shared" si="25"/>
        <v>02406911202</v>
      </c>
      <c r="C531" t="s">
        <v>13</v>
      </c>
      <c r="D531" t="s">
        <v>37</v>
      </c>
      <c r="E531" t="s">
        <v>360</v>
      </c>
      <c r="F531" t="s">
        <v>89</v>
      </c>
      <c r="G531" t="str">
        <f>"05155791212"</f>
        <v>05155791212</v>
      </c>
      <c r="I531" t="s">
        <v>363</v>
      </c>
      <c r="L531" t="s">
        <v>45</v>
      </c>
      <c r="AJ531" s="1">
        <v>41638</v>
      </c>
    </row>
    <row r="532" spans="1:36" ht="15">
      <c r="A532" t="str">
        <f t="shared" si="26"/>
        <v>5118315726</v>
      </c>
      <c r="B532" t="str">
        <f t="shared" si="25"/>
        <v>02406911202</v>
      </c>
      <c r="C532" t="s">
        <v>13</v>
      </c>
      <c r="D532" t="s">
        <v>37</v>
      </c>
      <c r="E532" t="s">
        <v>360</v>
      </c>
      <c r="F532" t="s">
        <v>89</v>
      </c>
      <c r="G532" t="str">
        <f>"01247340399"</f>
        <v>01247340399</v>
      </c>
      <c r="I532" t="s">
        <v>364</v>
      </c>
      <c r="L532" t="s">
        <v>45</v>
      </c>
      <c r="AJ532" s="1">
        <v>41638</v>
      </c>
    </row>
    <row r="533" spans="1:36" ht="15">
      <c r="A533" t="str">
        <f t="shared" si="26"/>
        <v>5118315726</v>
      </c>
      <c r="B533" t="str">
        <f t="shared" si="25"/>
        <v>02406911202</v>
      </c>
      <c r="C533" t="s">
        <v>13</v>
      </c>
      <c r="D533" t="s">
        <v>37</v>
      </c>
      <c r="E533" t="s">
        <v>360</v>
      </c>
      <c r="F533" t="s">
        <v>89</v>
      </c>
      <c r="G533" t="str">
        <f>"02425570823"</f>
        <v>02425570823</v>
      </c>
      <c r="I533" t="s">
        <v>365</v>
      </c>
      <c r="L533" t="s">
        <v>45</v>
      </c>
      <c r="AJ533" s="1">
        <v>41638</v>
      </c>
    </row>
    <row r="534" spans="1:36" ht="15">
      <c r="A534" t="str">
        <f t="shared" si="26"/>
        <v>5118315726</v>
      </c>
      <c r="B534" t="str">
        <f t="shared" si="25"/>
        <v>02406911202</v>
      </c>
      <c r="C534" t="s">
        <v>13</v>
      </c>
      <c r="D534" t="s">
        <v>37</v>
      </c>
      <c r="E534" t="s">
        <v>360</v>
      </c>
      <c r="F534" t="s">
        <v>89</v>
      </c>
      <c r="G534" t="str">
        <f>"03507970378"</f>
        <v>03507970378</v>
      </c>
      <c r="I534" t="s">
        <v>366</v>
      </c>
      <c r="L534" t="s">
        <v>45</v>
      </c>
      <c r="AJ534" s="1">
        <v>41638</v>
      </c>
    </row>
    <row r="535" spans="1:36" ht="15">
      <c r="A535" t="str">
        <f t="shared" si="26"/>
        <v>5118315726</v>
      </c>
      <c r="B535" t="str">
        <f t="shared" si="25"/>
        <v>02406911202</v>
      </c>
      <c r="C535" t="s">
        <v>13</v>
      </c>
      <c r="D535" t="s">
        <v>37</v>
      </c>
      <c r="E535" t="s">
        <v>360</v>
      </c>
      <c r="F535" t="s">
        <v>89</v>
      </c>
      <c r="G535" t="str">
        <f>"01593641200"</f>
        <v>01593641200</v>
      </c>
      <c r="I535" t="s">
        <v>367</v>
      </c>
      <c r="L535" t="s">
        <v>45</v>
      </c>
      <c r="AJ535" s="1">
        <v>41638</v>
      </c>
    </row>
    <row r="536" spans="1:36" ht="15">
      <c r="A536" t="str">
        <f t="shared" si="26"/>
        <v>5118315726</v>
      </c>
      <c r="B536" t="str">
        <f t="shared" si="25"/>
        <v>02406911202</v>
      </c>
      <c r="C536" t="s">
        <v>13</v>
      </c>
      <c r="D536" t="s">
        <v>37</v>
      </c>
      <c r="E536" t="s">
        <v>360</v>
      </c>
      <c r="F536" t="s">
        <v>89</v>
      </c>
      <c r="G536" t="str">
        <f>"01277480354"</f>
        <v>01277480354</v>
      </c>
      <c r="I536" t="s">
        <v>368</v>
      </c>
      <c r="L536" t="s">
        <v>45</v>
      </c>
      <c r="AJ536" s="1">
        <v>41638</v>
      </c>
    </row>
    <row r="537" spans="1:36" ht="15">
      <c r="A537" t="str">
        <f aca="true" t="shared" si="27" ref="A537:A544">"5118325F64"</f>
        <v>5118325F64</v>
      </c>
      <c r="B537" t="str">
        <f t="shared" si="25"/>
        <v>02406911202</v>
      </c>
      <c r="C537" t="s">
        <v>13</v>
      </c>
      <c r="D537" t="s">
        <v>37</v>
      </c>
      <c r="E537" t="s">
        <v>360</v>
      </c>
      <c r="F537" t="s">
        <v>89</v>
      </c>
      <c r="G537" t="str">
        <f>"00502961204"</f>
        <v>00502961204</v>
      </c>
      <c r="I537" t="s">
        <v>361</v>
      </c>
      <c r="L537" t="s">
        <v>45</v>
      </c>
      <c r="AJ537" s="1">
        <v>41638</v>
      </c>
    </row>
    <row r="538" spans="1:36" ht="15">
      <c r="A538" t="str">
        <f t="shared" si="27"/>
        <v>5118325F64</v>
      </c>
      <c r="B538" t="str">
        <f t="shared" si="25"/>
        <v>02406911202</v>
      </c>
      <c r="C538" t="s">
        <v>13</v>
      </c>
      <c r="D538" t="s">
        <v>37</v>
      </c>
      <c r="E538" t="s">
        <v>360</v>
      </c>
      <c r="F538" t="s">
        <v>89</v>
      </c>
      <c r="G538" t="str">
        <f>"07869740584"</f>
        <v>07869740584</v>
      </c>
      <c r="I538" t="s">
        <v>362</v>
      </c>
      <c r="L538" t="s">
        <v>45</v>
      </c>
      <c r="AJ538" s="1">
        <v>41638</v>
      </c>
    </row>
    <row r="539" spans="1:36" ht="15">
      <c r="A539" t="str">
        <f t="shared" si="27"/>
        <v>5118325F64</v>
      </c>
      <c r="B539" t="str">
        <f t="shared" si="25"/>
        <v>02406911202</v>
      </c>
      <c r="C539" t="s">
        <v>13</v>
      </c>
      <c r="D539" t="s">
        <v>37</v>
      </c>
      <c r="E539" t="s">
        <v>360</v>
      </c>
      <c r="F539" t="s">
        <v>89</v>
      </c>
      <c r="G539" t="str">
        <f>"05155791212"</f>
        <v>05155791212</v>
      </c>
      <c r="I539" t="s">
        <v>363</v>
      </c>
      <c r="L539" t="s">
        <v>45</v>
      </c>
      <c r="AJ539" s="1">
        <v>41638</v>
      </c>
    </row>
    <row r="540" spans="1:36" ht="15">
      <c r="A540" t="str">
        <f t="shared" si="27"/>
        <v>5118325F64</v>
      </c>
      <c r="B540" t="str">
        <f t="shared" si="25"/>
        <v>02406911202</v>
      </c>
      <c r="C540" t="s">
        <v>13</v>
      </c>
      <c r="D540" t="s">
        <v>37</v>
      </c>
      <c r="E540" t="s">
        <v>360</v>
      </c>
      <c r="F540" t="s">
        <v>89</v>
      </c>
      <c r="G540" t="str">
        <f>"01247340399"</f>
        <v>01247340399</v>
      </c>
      <c r="I540" t="s">
        <v>364</v>
      </c>
      <c r="L540" t="s">
        <v>45</v>
      </c>
      <c r="AJ540" s="1">
        <v>41638</v>
      </c>
    </row>
    <row r="541" spans="1:36" ht="15">
      <c r="A541" t="str">
        <f t="shared" si="27"/>
        <v>5118325F64</v>
      </c>
      <c r="B541" t="str">
        <f t="shared" si="25"/>
        <v>02406911202</v>
      </c>
      <c r="C541" t="s">
        <v>13</v>
      </c>
      <c r="D541" t="s">
        <v>37</v>
      </c>
      <c r="E541" t="s">
        <v>360</v>
      </c>
      <c r="F541" t="s">
        <v>89</v>
      </c>
      <c r="G541" t="str">
        <f>"02425570823"</f>
        <v>02425570823</v>
      </c>
      <c r="I541" t="s">
        <v>365</v>
      </c>
      <c r="L541" t="s">
        <v>45</v>
      </c>
      <c r="AJ541" s="1">
        <v>41638</v>
      </c>
    </row>
    <row r="542" spans="1:36" ht="15">
      <c r="A542" t="str">
        <f t="shared" si="27"/>
        <v>5118325F64</v>
      </c>
      <c r="B542" t="str">
        <f t="shared" si="25"/>
        <v>02406911202</v>
      </c>
      <c r="C542" t="s">
        <v>13</v>
      </c>
      <c r="D542" t="s">
        <v>37</v>
      </c>
      <c r="E542" t="s">
        <v>360</v>
      </c>
      <c r="F542" t="s">
        <v>89</v>
      </c>
      <c r="G542" t="str">
        <f>"03507970378"</f>
        <v>03507970378</v>
      </c>
      <c r="I542" t="s">
        <v>366</v>
      </c>
      <c r="L542" t="s">
        <v>45</v>
      </c>
      <c r="AJ542" s="1">
        <v>41638</v>
      </c>
    </row>
    <row r="543" spans="1:36" ht="15">
      <c r="A543" t="str">
        <f t="shared" si="27"/>
        <v>5118325F64</v>
      </c>
      <c r="B543" t="str">
        <f t="shared" si="25"/>
        <v>02406911202</v>
      </c>
      <c r="C543" t="s">
        <v>13</v>
      </c>
      <c r="D543" t="s">
        <v>37</v>
      </c>
      <c r="E543" t="s">
        <v>360</v>
      </c>
      <c r="F543" t="s">
        <v>89</v>
      </c>
      <c r="G543" t="str">
        <f>"01593641200"</f>
        <v>01593641200</v>
      </c>
      <c r="I543" t="s">
        <v>367</v>
      </c>
      <c r="L543" t="s">
        <v>41</v>
      </c>
      <c r="M543">
        <v>9997</v>
      </c>
      <c r="AG543">
        <v>2634.12</v>
      </c>
      <c r="AH543" s="1">
        <v>41456</v>
      </c>
      <c r="AI543" s="1">
        <v>42185</v>
      </c>
      <c r="AJ543" s="1">
        <v>41638</v>
      </c>
    </row>
    <row r="544" spans="1:36" ht="15">
      <c r="A544" t="str">
        <f t="shared" si="27"/>
        <v>5118325F64</v>
      </c>
      <c r="B544" t="str">
        <f t="shared" si="25"/>
        <v>02406911202</v>
      </c>
      <c r="C544" t="s">
        <v>13</v>
      </c>
      <c r="D544" t="s">
        <v>37</v>
      </c>
      <c r="E544" t="s">
        <v>360</v>
      </c>
      <c r="F544" t="s">
        <v>89</v>
      </c>
      <c r="G544" t="str">
        <f>"01277480354"</f>
        <v>01277480354</v>
      </c>
      <c r="I544" t="s">
        <v>368</v>
      </c>
      <c r="L544" t="s">
        <v>45</v>
      </c>
      <c r="AJ544" s="1">
        <v>41638</v>
      </c>
    </row>
    <row r="545" spans="1:36" ht="15">
      <c r="A545" t="str">
        <f>"5146323017"</f>
        <v>5146323017</v>
      </c>
      <c r="B545" t="str">
        <f t="shared" si="25"/>
        <v>02406911202</v>
      </c>
      <c r="C545" t="s">
        <v>13</v>
      </c>
      <c r="D545" t="s">
        <v>37</v>
      </c>
      <c r="E545" t="s">
        <v>369</v>
      </c>
      <c r="F545" t="s">
        <v>86</v>
      </c>
      <c r="G545" t="str">
        <f>"08641790152"</f>
        <v>08641790152</v>
      </c>
      <c r="I545" t="s">
        <v>114</v>
      </c>
      <c r="L545" t="s">
        <v>41</v>
      </c>
      <c r="M545">
        <v>42840.43</v>
      </c>
      <c r="AG545">
        <v>42840.43</v>
      </c>
      <c r="AH545" s="1">
        <v>41456</v>
      </c>
      <c r="AI545" s="1">
        <v>42185</v>
      </c>
      <c r="AJ545" s="1">
        <v>41638</v>
      </c>
    </row>
    <row r="546" spans="1:36" ht="15">
      <c r="A546" t="str">
        <f>"ZD00A08F63"</f>
        <v>ZD00A08F63</v>
      </c>
      <c r="B546" t="str">
        <f t="shared" si="25"/>
        <v>02406911202</v>
      </c>
      <c r="C546" t="s">
        <v>13</v>
      </c>
      <c r="D546" t="s">
        <v>37</v>
      </c>
      <c r="E546" t="s">
        <v>251</v>
      </c>
      <c r="F546" t="s">
        <v>39</v>
      </c>
      <c r="G546" t="str">
        <f>"01622780060"</f>
        <v>01622780060</v>
      </c>
      <c r="I546" t="s">
        <v>104</v>
      </c>
      <c r="L546" t="s">
        <v>41</v>
      </c>
      <c r="M546">
        <v>26559</v>
      </c>
      <c r="AG546">
        <v>26559</v>
      </c>
      <c r="AH546" s="1">
        <v>41421</v>
      </c>
      <c r="AI546" s="1">
        <v>41639</v>
      </c>
      <c r="AJ546" s="1">
        <v>41638</v>
      </c>
    </row>
    <row r="547" spans="1:36" ht="15">
      <c r="A547" t="str">
        <f>"5153262E51"</f>
        <v>5153262E51</v>
      </c>
      <c r="B547" t="str">
        <f t="shared" si="25"/>
        <v>02406911202</v>
      </c>
      <c r="C547" t="s">
        <v>13</v>
      </c>
      <c r="D547" t="s">
        <v>37</v>
      </c>
      <c r="E547" t="s">
        <v>370</v>
      </c>
      <c r="F547" t="s">
        <v>39</v>
      </c>
      <c r="G547" t="str">
        <f>"00795170158"</f>
        <v>00795170158</v>
      </c>
      <c r="I547" t="s">
        <v>60</v>
      </c>
      <c r="L547" t="s">
        <v>41</v>
      </c>
      <c r="M547">
        <v>138415</v>
      </c>
      <c r="AG547">
        <v>83852.82</v>
      </c>
      <c r="AH547" s="1">
        <v>41419</v>
      </c>
      <c r="AI547" s="1">
        <v>41783</v>
      </c>
      <c r="AJ547" s="1">
        <v>41638</v>
      </c>
    </row>
    <row r="548" spans="1:36" ht="15">
      <c r="A548" t="str">
        <f>"5153251540"</f>
        <v>5153251540</v>
      </c>
      <c r="B548" t="str">
        <f t="shared" si="25"/>
        <v>02406911202</v>
      </c>
      <c r="C548" t="s">
        <v>13</v>
      </c>
      <c r="D548" t="s">
        <v>37</v>
      </c>
      <c r="E548" t="s">
        <v>370</v>
      </c>
      <c r="F548" t="s">
        <v>39</v>
      </c>
      <c r="G548" t="str">
        <f>"00426150488"</f>
        <v>00426150488</v>
      </c>
      <c r="I548" t="s">
        <v>63</v>
      </c>
      <c r="L548" t="s">
        <v>41</v>
      </c>
      <c r="M548">
        <v>204060</v>
      </c>
      <c r="AG548">
        <v>156374.4</v>
      </c>
      <c r="AH548" s="1">
        <v>41419</v>
      </c>
      <c r="AI548" s="1">
        <v>41783</v>
      </c>
      <c r="AJ548" s="1">
        <v>41638</v>
      </c>
    </row>
    <row r="549" spans="1:36" ht="15">
      <c r="A549" t="str">
        <f>"5153278B86"</f>
        <v>5153278B86</v>
      </c>
      <c r="B549" t="str">
        <f t="shared" si="25"/>
        <v>02406911202</v>
      </c>
      <c r="C549" t="s">
        <v>13</v>
      </c>
      <c r="D549" t="s">
        <v>37</v>
      </c>
      <c r="E549" t="s">
        <v>370</v>
      </c>
      <c r="F549" t="s">
        <v>39</v>
      </c>
      <c r="G549" t="str">
        <f>"05619050585"</f>
        <v>05619050585</v>
      </c>
      <c r="I549" t="s">
        <v>371</v>
      </c>
      <c r="L549" t="s">
        <v>41</v>
      </c>
      <c r="M549">
        <v>112000</v>
      </c>
      <c r="AG549">
        <v>105600</v>
      </c>
      <c r="AH549" s="1">
        <v>41419</v>
      </c>
      <c r="AI549" s="1">
        <v>41783</v>
      </c>
      <c r="AJ549" s="1">
        <v>41638</v>
      </c>
    </row>
    <row r="550" spans="1:36" ht="15">
      <c r="A550" t="str">
        <f>"5146938B97"</f>
        <v>5146938B97</v>
      </c>
      <c r="B550" t="str">
        <f t="shared" si="25"/>
        <v>02406911202</v>
      </c>
      <c r="C550" t="s">
        <v>13</v>
      </c>
      <c r="D550" t="s">
        <v>37</v>
      </c>
      <c r="E550" t="s">
        <v>372</v>
      </c>
      <c r="F550" t="s">
        <v>86</v>
      </c>
      <c r="G550" t="str">
        <f>"05991060582"</f>
        <v>05991060582</v>
      </c>
      <c r="I550" t="s">
        <v>373</v>
      </c>
      <c r="L550" t="s">
        <v>41</v>
      </c>
      <c r="M550">
        <v>18400</v>
      </c>
      <c r="AG550">
        <v>0</v>
      </c>
      <c r="AH550" s="1">
        <v>41426</v>
      </c>
      <c r="AI550" s="1">
        <v>41790</v>
      </c>
      <c r="AJ550" s="1">
        <v>41638</v>
      </c>
    </row>
    <row r="551" spans="1:36" ht="15">
      <c r="A551" t="str">
        <f>"5153188144"</f>
        <v>5153188144</v>
      </c>
      <c r="B551" t="str">
        <f t="shared" si="25"/>
        <v>02406911202</v>
      </c>
      <c r="C551" t="s">
        <v>13</v>
      </c>
      <c r="D551" t="s">
        <v>37</v>
      </c>
      <c r="E551" t="s">
        <v>374</v>
      </c>
      <c r="F551" t="s">
        <v>106</v>
      </c>
      <c r="G551" t="str">
        <f>"05688870483"</f>
        <v>05688870483</v>
      </c>
      <c r="I551" t="s">
        <v>375</v>
      </c>
      <c r="L551" t="s">
        <v>41</v>
      </c>
      <c r="M551">
        <v>1063184</v>
      </c>
      <c r="AG551">
        <v>1115150.72</v>
      </c>
      <c r="AH551" s="1">
        <v>41579</v>
      </c>
      <c r="AI551" s="1">
        <v>43404</v>
      </c>
      <c r="AJ551" s="1">
        <v>41638</v>
      </c>
    </row>
    <row r="552" spans="1:36" ht="15">
      <c r="A552" t="str">
        <f>"51399862A1"</f>
        <v>51399862A1</v>
      </c>
      <c r="B552" t="str">
        <f t="shared" si="25"/>
        <v>02406911202</v>
      </c>
      <c r="C552" t="s">
        <v>13</v>
      </c>
      <c r="D552" t="s">
        <v>37</v>
      </c>
      <c r="E552" t="s">
        <v>376</v>
      </c>
      <c r="F552" t="s">
        <v>86</v>
      </c>
      <c r="G552" t="str">
        <f>"11552601004"</f>
        <v>11552601004</v>
      </c>
      <c r="I552" t="s">
        <v>377</v>
      </c>
      <c r="L552" t="s">
        <v>41</v>
      </c>
      <c r="M552">
        <v>100000</v>
      </c>
      <c r="AG552">
        <v>0</v>
      </c>
      <c r="AH552" s="1">
        <v>41426</v>
      </c>
      <c r="AI552" s="1">
        <v>42154</v>
      </c>
      <c r="AJ552" s="1">
        <v>41638</v>
      </c>
    </row>
    <row r="553" spans="1:37" ht="15">
      <c r="A553" t="str">
        <f>"51538389A7"</f>
        <v>51538389A7</v>
      </c>
      <c r="B553" t="str">
        <f t="shared" si="25"/>
        <v>02406911202</v>
      </c>
      <c r="C553" t="s">
        <v>13</v>
      </c>
      <c r="D553" t="s">
        <v>37</v>
      </c>
      <c r="E553" t="s">
        <v>378</v>
      </c>
      <c r="F553" t="s">
        <v>86</v>
      </c>
      <c r="G553" t="str">
        <f>"03970540963"</f>
        <v>03970540963</v>
      </c>
      <c r="I553" t="s">
        <v>379</v>
      </c>
      <c r="L553" t="s">
        <v>41</v>
      </c>
      <c r="M553">
        <v>55598</v>
      </c>
      <c r="AG553">
        <v>93000</v>
      </c>
      <c r="AH553" s="1">
        <v>41395</v>
      </c>
      <c r="AI553" s="1">
        <v>41851</v>
      </c>
      <c r="AJ553" s="1">
        <v>41638</v>
      </c>
      <c r="AK553" s="2" t="s">
        <v>380</v>
      </c>
    </row>
    <row r="554" spans="1:37" ht="15">
      <c r="A554" t="str">
        <f>"5138758D3D"</f>
        <v>5138758D3D</v>
      </c>
      <c r="B554" t="str">
        <f t="shared" si="25"/>
        <v>02406911202</v>
      </c>
      <c r="C554" t="s">
        <v>13</v>
      </c>
      <c r="D554" t="s">
        <v>37</v>
      </c>
      <c r="E554" t="s">
        <v>381</v>
      </c>
      <c r="F554" t="s">
        <v>106</v>
      </c>
      <c r="G554" t="str">
        <f>"00431030584"</f>
        <v>00431030584</v>
      </c>
      <c r="I554" t="s">
        <v>382</v>
      </c>
      <c r="L554" t="s">
        <v>41</v>
      </c>
      <c r="M554">
        <v>312646</v>
      </c>
      <c r="AG554">
        <v>340914.59</v>
      </c>
      <c r="AH554" s="1">
        <v>41450</v>
      </c>
      <c r="AI554" s="1">
        <v>43275</v>
      </c>
      <c r="AJ554" s="1">
        <v>41638</v>
      </c>
      <c r="AK554" s="2" t="s">
        <v>383</v>
      </c>
    </row>
    <row r="555" spans="1:36" ht="15">
      <c r="A555" t="str">
        <f>"5138553414"</f>
        <v>5138553414</v>
      </c>
      <c r="B555" t="str">
        <f t="shared" si="25"/>
        <v>02406911202</v>
      </c>
      <c r="C555" t="s">
        <v>13</v>
      </c>
      <c r="D555" t="s">
        <v>37</v>
      </c>
      <c r="E555" t="s">
        <v>381</v>
      </c>
      <c r="F555" t="s">
        <v>106</v>
      </c>
      <c r="G555" t="str">
        <f>"08082461008"</f>
        <v>08082461008</v>
      </c>
      <c r="I555" t="s">
        <v>132</v>
      </c>
      <c r="L555" t="s">
        <v>41</v>
      </c>
      <c r="M555">
        <v>192150</v>
      </c>
      <c r="AG555">
        <v>288816.15</v>
      </c>
      <c r="AH555" s="1">
        <v>41450</v>
      </c>
      <c r="AI555" s="1">
        <v>43275</v>
      </c>
      <c r="AJ555" s="1">
        <v>41638</v>
      </c>
    </row>
    <row r="556" spans="1:36" ht="15">
      <c r="A556" t="str">
        <f>"5152972F00"</f>
        <v>5152972F00</v>
      </c>
      <c r="B556" t="str">
        <f t="shared" si="25"/>
        <v>02406911202</v>
      </c>
      <c r="C556" t="s">
        <v>13</v>
      </c>
      <c r="D556" t="s">
        <v>37</v>
      </c>
      <c r="E556" t="s">
        <v>384</v>
      </c>
      <c r="F556" t="s">
        <v>86</v>
      </c>
      <c r="G556" t="str">
        <f>"12302080150"</f>
        <v>12302080150</v>
      </c>
      <c r="I556" t="s">
        <v>385</v>
      </c>
      <c r="L556" t="s">
        <v>41</v>
      </c>
      <c r="M556">
        <v>187200</v>
      </c>
      <c r="AG556">
        <v>130890</v>
      </c>
      <c r="AH556" s="1">
        <v>41440</v>
      </c>
      <c r="AI556" s="1">
        <v>42169</v>
      </c>
      <c r="AJ556" s="1">
        <v>41638</v>
      </c>
    </row>
    <row r="557" spans="1:36" ht="15">
      <c r="A557" t="str">
        <f>"51530374A7"</f>
        <v>51530374A7</v>
      </c>
      <c r="B557" t="str">
        <f t="shared" si="25"/>
        <v>02406911202</v>
      </c>
      <c r="C557" t="s">
        <v>13</v>
      </c>
      <c r="D557" t="s">
        <v>37</v>
      </c>
      <c r="E557" t="s">
        <v>384</v>
      </c>
      <c r="F557" t="s">
        <v>86</v>
      </c>
      <c r="G557" t="str">
        <f>"11206730159"</f>
        <v>11206730159</v>
      </c>
      <c r="I557" t="s">
        <v>255</v>
      </c>
      <c r="L557" t="s">
        <v>41</v>
      </c>
      <c r="M557">
        <v>917280</v>
      </c>
      <c r="AG557">
        <v>367000</v>
      </c>
      <c r="AH557" s="1">
        <v>41440</v>
      </c>
      <c r="AI557" s="1">
        <v>42169</v>
      </c>
      <c r="AJ557" s="1">
        <v>41638</v>
      </c>
    </row>
    <row r="558" spans="1:36" ht="15">
      <c r="A558" t="str">
        <f>"51530710B7"</f>
        <v>51530710B7</v>
      </c>
      <c r="B558" t="str">
        <f t="shared" si="25"/>
        <v>02406911202</v>
      </c>
      <c r="C558" t="s">
        <v>13</v>
      </c>
      <c r="D558" t="s">
        <v>37</v>
      </c>
      <c r="E558" t="s">
        <v>384</v>
      </c>
      <c r="F558" t="s">
        <v>86</v>
      </c>
      <c r="G558" t="str">
        <f>"09238800156"</f>
        <v>09238800156</v>
      </c>
      <c r="I558" t="s">
        <v>257</v>
      </c>
      <c r="L558" t="s">
        <v>41</v>
      </c>
      <c r="M558">
        <v>900349</v>
      </c>
      <c r="AG558">
        <v>562700</v>
      </c>
      <c r="AH558" s="1">
        <v>41440</v>
      </c>
      <c r="AI558" s="1">
        <v>42169</v>
      </c>
      <c r="AJ558" s="1">
        <v>41638</v>
      </c>
    </row>
    <row r="559" spans="1:36" ht="15">
      <c r="A559" t="str">
        <f>"5153088EBA"</f>
        <v>5153088EBA</v>
      </c>
      <c r="B559" t="str">
        <f t="shared" si="25"/>
        <v>02406911202</v>
      </c>
      <c r="C559" t="s">
        <v>13</v>
      </c>
      <c r="D559" t="s">
        <v>37</v>
      </c>
      <c r="E559" t="s">
        <v>384</v>
      </c>
      <c r="F559" t="s">
        <v>86</v>
      </c>
      <c r="G559" t="str">
        <f>"11264670156"</f>
        <v>11264670156</v>
      </c>
      <c r="I559" t="s">
        <v>386</v>
      </c>
      <c r="L559" t="s">
        <v>41</v>
      </c>
      <c r="M559">
        <v>686837</v>
      </c>
      <c r="AG559">
        <v>330790</v>
      </c>
      <c r="AH559" s="1">
        <v>41440</v>
      </c>
      <c r="AI559" s="1">
        <v>42169</v>
      </c>
      <c r="AJ559" s="1">
        <v>41638</v>
      </c>
    </row>
    <row r="560" spans="1:36" ht="15">
      <c r="A560" t="str">
        <f>"5172371792"</f>
        <v>5172371792</v>
      </c>
      <c r="B560" t="str">
        <f t="shared" si="25"/>
        <v>02406911202</v>
      </c>
      <c r="C560" t="s">
        <v>13</v>
      </c>
      <c r="D560" t="s">
        <v>37</v>
      </c>
      <c r="E560" t="s">
        <v>387</v>
      </c>
      <c r="F560" t="s">
        <v>86</v>
      </c>
      <c r="G560" t="str">
        <f>"02187920968"</f>
        <v>02187920968</v>
      </c>
      <c r="I560" t="s">
        <v>49</v>
      </c>
      <c r="L560" t="s">
        <v>41</v>
      </c>
      <c r="M560">
        <v>352800</v>
      </c>
      <c r="AG560">
        <v>340800</v>
      </c>
      <c r="AH560" s="1">
        <v>41456</v>
      </c>
      <c r="AI560" s="1">
        <v>43646</v>
      </c>
      <c r="AJ560" s="1">
        <v>41638</v>
      </c>
    </row>
    <row r="561" spans="1:36" ht="15">
      <c r="A561" t="str">
        <f>"5173506036"</f>
        <v>5173506036</v>
      </c>
      <c r="B561" t="str">
        <f t="shared" si="25"/>
        <v>02406911202</v>
      </c>
      <c r="C561" t="s">
        <v>13</v>
      </c>
      <c r="D561" t="s">
        <v>37</v>
      </c>
      <c r="E561" t="s">
        <v>388</v>
      </c>
      <c r="F561" t="s">
        <v>86</v>
      </c>
      <c r="G561" t="str">
        <f>"06991390961"</f>
        <v>06991390961</v>
      </c>
      <c r="I561" t="s">
        <v>389</v>
      </c>
      <c r="L561" t="s">
        <v>41</v>
      </c>
      <c r="M561">
        <v>444402</v>
      </c>
      <c r="AG561">
        <v>480845</v>
      </c>
      <c r="AH561" s="1">
        <v>41456</v>
      </c>
      <c r="AI561" s="1">
        <v>42551</v>
      </c>
      <c r="AJ561" s="1">
        <v>41638</v>
      </c>
    </row>
    <row r="562" spans="1:36" ht="15">
      <c r="A562" t="str">
        <f>"5177727B7A"</f>
        <v>5177727B7A</v>
      </c>
      <c r="B562" t="str">
        <f t="shared" si="25"/>
        <v>02406911202</v>
      </c>
      <c r="C562" t="s">
        <v>13</v>
      </c>
      <c r="D562" t="s">
        <v>37</v>
      </c>
      <c r="E562" t="s">
        <v>390</v>
      </c>
      <c r="F562" t="s">
        <v>86</v>
      </c>
      <c r="G562" t="str">
        <f>"11206730159"</f>
        <v>11206730159</v>
      </c>
      <c r="I562" t="s">
        <v>255</v>
      </c>
      <c r="L562" t="s">
        <v>41</v>
      </c>
      <c r="M562">
        <v>78000</v>
      </c>
      <c r="AG562">
        <v>56550</v>
      </c>
      <c r="AH562" s="1">
        <v>41442</v>
      </c>
      <c r="AI562" s="1">
        <v>41806</v>
      </c>
      <c r="AJ562" s="1">
        <v>41638</v>
      </c>
    </row>
    <row r="563" spans="1:36" ht="15">
      <c r="A563" t="str">
        <f>"5198917A05"</f>
        <v>5198917A05</v>
      </c>
      <c r="B563" t="str">
        <f t="shared" si="25"/>
        <v>02406911202</v>
      </c>
      <c r="C563" t="s">
        <v>13</v>
      </c>
      <c r="D563" t="s">
        <v>37</v>
      </c>
      <c r="E563" t="s">
        <v>391</v>
      </c>
      <c r="F563" t="s">
        <v>39</v>
      </c>
      <c r="G563" t="str">
        <f>"01788080156"</f>
        <v>01788080156</v>
      </c>
      <c r="I563" t="s">
        <v>314</v>
      </c>
      <c r="L563" t="s">
        <v>41</v>
      </c>
      <c r="M563">
        <v>51372</v>
      </c>
      <c r="AG563">
        <v>66963.28</v>
      </c>
      <c r="AH563" s="1">
        <v>41450</v>
      </c>
      <c r="AI563" s="1">
        <v>43275</v>
      </c>
      <c r="AJ563" s="1">
        <v>41638</v>
      </c>
    </row>
    <row r="564" spans="1:36" ht="15">
      <c r="A564" t="str">
        <f>"51933529A3"</f>
        <v>51933529A3</v>
      </c>
      <c r="B564" t="str">
        <f t="shared" si="25"/>
        <v>02406911202</v>
      </c>
      <c r="C564" t="s">
        <v>13</v>
      </c>
      <c r="D564" t="s">
        <v>37</v>
      </c>
      <c r="E564" t="s">
        <v>392</v>
      </c>
      <c r="F564" t="s">
        <v>353</v>
      </c>
      <c r="G564" t="str">
        <f>"00136740404"</f>
        <v>00136740404</v>
      </c>
      <c r="I564" t="s">
        <v>393</v>
      </c>
      <c r="J564" t="s">
        <v>394</v>
      </c>
      <c r="K564" t="s">
        <v>51</v>
      </c>
      <c r="AJ564" s="1">
        <v>41638</v>
      </c>
    </row>
    <row r="565" spans="1:36" ht="15">
      <c r="A565" t="str">
        <f>"51933529A3"</f>
        <v>51933529A3</v>
      </c>
      <c r="B565" t="str">
        <f t="shared" si="25"/>
        <v>02406911202</v>
      </c>
      <c r="C565" t="s">
        <v>13</v>
      </c>
      <c r="D565" t="s">
        <v>37</v>
      </c>
      <c r="E565" t="s">
        <v>392</v>
      </c>
      <c r="F565" t="s">
        <v>353</v>
      </c>
      <c r="G565" t="str">
        <f>"03742130151"</f>
        <v>03742130151</v>
      </c>
      <c r="I565" t="s">
        <v>395</v>
      </c>
      <c r="J565" t="s">
        <v>394</v>
      </c>
      <c r="K565" t="s">
        <v>53</v>
      </c>
      <c r="AJ565" s="1">
        <v>41638</v>
      </c>
    </row>
    <row r="566" spans="1:36" ht="15">
      <c r="A566" t="str">
        <f>"51933529A3"</f>
        <v>51933529A3</v>
      </c>
      <c r="B566" t="str">
        <f t="shared" si="25"/>
        <v>02406911202</v>
      </c>
      <c r="C566" t="s">
        <v>13</v>
      </c>
      <c r="D566" t="s">
        <v>37</v>
      </c>
      <c r="E566" t="s">
        <v>392</v>
      </c>
      <c r="F566" t="s">
        <v>353</v>
      </c>
      <c r="I566" t="s">
        <v>394</v>
      </c>
      <c r="L566" t="s">
        <v>41</v>
      </c>
      <c r="M566">
        <v>106000</v>
      </c>
      <c r="AG566">
        <v>160158.56</v>
      </c>
      <c r="AH566" s="1">
        <v>41365</v>
      </c>
      <c r="AI566" s="1">
        <v>42004</v>
      </c>
      <c r="AJ566" s="1">
        <v>41638</v>
      </c>
    </row>
    <row r="567" spans="1:36" ht="15">
      <c r="A567" t="str">
        <f>"5139683894"</f>
        <v>5139683894</v>
      </c>
      <c r="B567" t="str">
        <f t="shared" si="25"/>
        <v>02406911202</v>
      </c>
      <c r="C567" t="s">
        <v>13</v>
      </c>
      <c r="D567" t="s">
        <v>37</v>
      </c>
      <c r="E567" t="s">
        <v>396</v>
      </c>
      <c r="F567" t="s">
        <v>89</v>
      </c>
      <c r="G567" t="str">
        <f>"00152680203"</f>
        <v>00152680203</v>
      </c>
      <c r="I567" t="s">
        <v>259</v>
      </c>
      <c r="L567" t="s">
        <v>41</v>
      </c>
      <c r="M567">
        <v>31958</v>
      </c>
      <c r="AG567">
        <v>31958.33</v>
      </c>
      <c r="AH567" s="1">
        <v>41456</v>
      </c>
      <c r="AI567" s="1">
        <v>41639</v>
      </c>
      <c r="AJ567" s="1">
        <v>41638</v>
      </c>
    </row>
    <row r="568" spans="1:36" ht="15">
      <c r="A568" t="str">
        <f>"5193298D12"</f>
        <v>5193298D12</v>
      </c>
      <c r="B568" t="str">
        <f t="shared" si="25"/>
        <v>02406911202</v>
      </c>
      <c r="C568" t="s">
        <v>13</v>
      </c>
      <c r="D568" t="s">
        <v>37</v>
      </c>
      <c r="E568" t="s">
        <v>397</v>
      </c>
      <c r="F568" t="s">
        <v>86</v>
      </c>
      <c r="G568" t="str">
        <f>"03071411205"</f>
        <v>03071411205</v>
      </c>
      <c r="I568" t="s">
        <v>398</v>
      </c>
      <c r="L568" t="s">
        <v>41</v>
      </c>
      <c r="M568">
        <v>32000</v>
      </c>
      <c r="AG568">
        <v>46200</v>
      </c>
      <c r="AH568" s="1">
        <v>41456</v>
      </c>
      <c r="AI568" s="1">
        <v>42185</v>
      </c>
      <c r="AJ568" s="1">
        <v>41638</v>
      </c>
    </row>
    <row r="569" spans="1:36" ht="15">
      <c r="A569" t="str">
        <f>"520094753C"</f>
        <v>520094753C</v>
      </c>
      <c r="B569" t="str">
        <f t="shared" si="25"/>
        <v>02406911202</v>
      </c>
      <c r="C569" t="s">
        <v>13</v>
      </c>
      <c r="D569" t="s">
        <v>37</v>
      </c>
      <c r="E569" t="s">
        <v>399</v>
      </c>
      <c r="F569" t="s">
        <v>86</v>
      </c>
      <c r="G569" t="str">
        <f>"01392770465"</f>
        <v>01392770465</v>
      </c>
      <c r="I569" t="s">
        <v>400</v>
      </c>
      <c r="L569" t="s">
        <v>41</v>
      </c>
      <c r="M569">
        <v>84000</v>
      </c>
      <c r="AG569">
        <v>252000</v>
      </c>
      <c r="AH569" s="1">
        <v>41456</v>
      </c>
      <c r="AI569" s="1">
        <v>41608</v>
      </c>
      <c r="AJ569" s="1">
        <v>41638</v>
      </c>
    </row>
    <row r="570" spans="1:36" ht="15">
      <c r="A570" t="str">
        <f>"5203705934"</f>
        <v>5203705934</v>
      </c>
      <c r="B570" t="str">
        <f t="shared" si="25"/>
        <v>02406911202</v>
      </c>
      <c r="C570" t="s">
        <v>13</v>
      </c>
      <c r="D570" t="s">
        <v>37</v>
      </c>
      <c r="E570" t="s">
        <v>401</v>
      </c>
      <c r="F570" t="s">
        <v>106</v>
      </c>
      <c r="G570" t="str">
        <f>"01809291204"</f>
        <v>01809291204</v>
      </c>
      <c r="I570" t="s">
        <v>402</v>
      </c>
      <c r="L570" t="s">
        <v>41</v>
      </c>
      <c r="M570">
        <v>896364</v>
      </c>
      <c r="AG570">
        <v>745136.54</v>
      </c>
      <c r="AH570" s="1">
        <v>41456</v>
      </c>
      <c r="AI570" s="1">
        <v>42916</v>
      </c>
      <c r="AJ570" s="1">
        <v>41638</v>
      </c>
    </row>
    <row r="571" spans="1:36" ht="15">
      <c r="A571" t="str">
        <f>"520307949E"</f>
        <v>520307949E</v>
      </c>
      <c r="B571" t="str">
        <f t="shared" si="25"/>
        <v>02406911202</v>
      </c>
      <c r="C571" t="s">
        <v>13</v>
      </c>
      <c r="D571" t="s">
        <v>37</v>
      </c>
      <c r="E571" t="s">
        <v>403</v>
      </c>
      <c r="F571" t="s">
        <v>39</v>
      </c>
      <c r="G571" t="str">
        <f>"10784350158"</f>
        <v>10784350158</v>
      </c>
      <c r="I571" t="s">
        <v>104</v>
      </c>
      <c r="L571" t="s">
        <v>41</v>
      </c>
      <c r="M571">
        <v>48270</v>
      </c>
      <c r="AG571">
        <v>0</v>
      </c>
      <c r="AH571" s="1">
        <v>41456</v>
      </c>
      <c r="AI571" s="1">
        <v>41639</v>
      </c>
      <c r="AJ571" s="1">
        <v>41638</v>
      </c>
    </row>
    <row r="572" spans="1:36" ht="15">
      <c r="A572" t="str">
        <f>"5203030C2C"</f>
        <v>5203030C2C</v>
      </c>
      <c r="B572" t="str">
        <f t="shared" si="25"/>
        <v>02406911202</v>
      </c>
      <c r="C572" t="s">
        <v>13</v>
      </c>
      <c r="D572" t="s">
        <v>37</v>
      </c>
      <c r="E572" t="s">
        <v>403</v>
      </c>
      <c r="F572" t="s">
        <v>39</v>
      </c>
      <c r="G572" t="str">
        <f>"93027710016"</f>
        <v>93027710016</v>
      </c>
      <c r="I572" t="s">
        <v>46</v>
      </c>
      <c r="L572" t="s">
        <v>41</v>
      </c>
      <c r="M572">
        <v>102096</v>
      </c>
      <c r="AG572">
        <v>48270</v>
      </c>
      <c r="AH572" s="1">
        <v>41456</v>
      </c>
      <c r="AI572" s="1">
        <v>41639</v>
      </c>
      <c r="AJ572" s="1">
        <v>41638</v>
      </c>
    </row>
    <row r="573" spans="1:36" ht="15">
      <c r="A573" t="str">
        <f>"520238149C"</f>
        <v>520238149C</v>
      </c>
      <c r="B573" t="str">
        <f t="shared" si="25"/>
        <v>02406911202</v>
      </c>
      <c r="C573" t="s">
        <v>13</v>
      </c>
      <c r="D573" t="s">
        <v>37</v>
      </c>
      <c r="E573" t="s">
        <v>404</v>
      </c>
      <c r="F573" t="s">
        <v>86</v>
      </c>
      <c r="G573" t="str">
        <f>"00967720285"</f>
        <v>00967720285</v>
      </c>
      <c r="I573" t="s">
        <v>236</v>
      </c>
      <c r="L573" t="s">
        <v>41</v>
      </c>
      <c r="M573">
        <v>589700</v>
      </c>
      <c r="AG573">
        <v>594700</v>
      </c>
      <c r="AH573" s="1">
        <v>41456</v>
      </c>
      <c r="AI573" s="1">
        <v>41639</v>
      </c>
      <c r="AJ573" s="1">
        <v>41638</v>
      </c>
    </row>
    <row r="574" spans="1:36" ht="15">
      <c r="A574" t="str">
        <f>"5139744AEA"</f>
        <v>5139744AEA</v>
      </c>
      <c r="B574" t="str">
        <f t="shared" si="25"/>
        <v>02406911202</v>
      </c>
      <c r="C574" t="s">
        <v>13</v>
      </c>
      <c r="D574" t="s">
        <v>37</v>
      </c>
      <c r="E574" t="s">
        <v>405</v>
      </c>
      <c r="F574" t="s">
        <v>89</v>
      </c>
      <c r="G574" t="str">
        <f>"06754140157"</f>
        <v>06754140157</v>
      </c>
      <c r="I574" t="s">
        <v>406</v>
      </c>
      <c r="L574" t="s">
        <v>41</v>
      </c>
      <c r="M574">
        <v>19840</v>
      </c>
      <c r="AG574">
        <v>19840</v>
      </c>
      <c r="AH574" s="1">
        <v>41491</v>
      </c>
      <c r="AI574" s="1">
        <v>41639</v>
      </c>
      <c r="AJ574" s="1">
        <v>41638</v>
      </c>
    </row>
    <row r="575" spans="1:36" ht="15">
      <c r="A575" t="str">
        <f>"5139744AEA"</f>
        <v>5139744AEA</v>
      </c>
      <c r="B575" t="str">
        <f t="shared" si="25"/>
        <v>02406911202</v>
      </c>
      <c r="C575" t="s">
        <v>13</v>
      </c>
      <c r="D575" t="s">
        <v>37</v>
      </c>
      <c r="E575" t="s">
        <v>405</v>
      </c>
      <c r="F575" t="s">
        <v>89</v>
      </c>
      <c r="G575" t="str">
        <f>"01035300100"</f>
        <v>01035300100</v>
      </c>
      <c r="I575" t="s">
        <v>407</v>
      </c>
      <c r="L575" t="s">
        <v>45</v>
      </c>
      <c r="AJ575" s="1">
        <v>41638</v>
      </c>
    </row>
    <row r="576" spans="1:36" ht="15">
      <c r="A576" t="str">
        <f>"5139744AEA"</f>
        <v>5139744AEA</v>
      </c>
      <c r="B576" t="str">
        <f t="shared" si="25"/>
        <v>02406911202</v>
      </c>
      <c r="C576" t="s">
        <v>13</v>
      </c>
      <c r="D576" t="s">
        <v>37</v>
      </c>
      <c r="E576" t="s">
        <v>405</v>
      </c>
      <c r="F576" t="s">
        <v>89</v>
      </c>
      <c r="G576" t="str">
        <f>"02705540165"</f>
        <v>02705540165</v>
      </c>
      <c r="I576" t="s">
        <v>408</v>
      </c>
      <c r="L576" t="s">
        <v>45</v>
      </c>
      <c r="AJ576" s="1">
        <v>41638</v>
      </c>
    </row>
    <row r="577" spans="1:36" ht="15">
      <c r="A577" t="str">
        <f>"5139744AEA"</f>
        <v>5139744AEA</v>
      </c>
      <c r="B577" t="str">
        <f t="shared" si="25"/>
        <v>02406911202</v>
      </c>
      <c r="C577" t="s">
        <v>13</v>
      </c>
      <c r="D577" t="s">
        <v>37</v>
      </c>
      <c r="E577" t="s">
        <v>405</v>
      </c>
      <c r="F577" t="s">
        <v>89</v>
      </c>
      <c r="G577" t="str">
        <f>"09933630155"</f>
        <v>09933630155</v>
      </c>
      <c r="I577" t="s">
        <v>409</v>
      </c>
      <c r="L577" t="s">
        <v>45</v>
      </c>
      <c r="AJ577" s="1">
        <v>41638</v>
      </c>
    </row>
    <row r="578" spans="1:36" ht="15">
      <c r="A578" t="str">
        <f>"5139744AEA"</f>
        <v>5139744AEA</v>
      </c>
      <c r="B578" t="str">
        <f aca="true" t="shared" si="28" ref="B578:B641">"02406911202"</f>
        <v>02406911202</v>
      </c>
      <c r="C578" t="s">
        <v>13</v>
      </c>
      <c r="D578" t="s">
        <v>37</v>
      </c>
      <c r="E578" t="s">
        <v>405</v>
      </c>
      <c r="F578" t="s">
        <v>89</v>
      </c>
      <c r="G578" t="str">
        <f>"02405040284"</f>
        <v>02405040284</v>
      </c>
      <c r="I578" t="s">
        <v>410</v>
      </c>
      <c r="L578" t="s">
        <v>45</v>
      </c>
      <c r="AJ578" s="1">
        <v>41638</v>
      </c>
    </row>
    <row r="579" spans="1:36" ht="15">
      <c r="A579" t="str">
        <f>"52101396B6"</f>
        <v>52101396B6</v>
      </c>
      <c r="B579" t="str">
        <f t="shared" si="28"/>
        <v>02406911202</v>
      </c>
      <c r="C579" t="s">
        <v>13</v>
      </c>
      <c r="D579" t="s">
        <v>37</v>
      </c>
      <c r="E579" t="s">
        <v>411</v>
      </c>
      <c r="F579" t="s">
        <v>86</v>
      </c>
      <c r="G579" t="str">
        <f>"06600500158"</f>
        <v>06600500158</v>
      </c>
      <c r="I579" t="s">
        <v>176</v>
      </c>
      <c r="L579" t="s">
        <v>41</v>
      </c>
      <c r="M579">
        <v>144000</v>
      </c>
      <c r="AG579">
        <v>72095.39</v>
      </c>
      <c r="AH579" s="1">
        <v>41456</v>
      </c>
      <c r="AI579" s="1">
        <v>41639</v>
      </c>
      <c r="AJ579" s="1">
        <v>41638</v>
      </c>
    </row>
    <row r="580" spans="1:36" ht="15">
      <c r="A580" t="str">
        <f>"5217534D40"</f>
        <v>5217534D40</v>
      </c>
      <c r="B580" t="str">
        <f t="shared" si="28"/>
        <v>02406911202</v>
      </c>
      <c r="C580" t="s">
        <v>13</v>
      </c>
      <c r="D580" t="s">
        <v>37</v>
      </c>
      <c r="E580" t="s">
        <v>412</v>
      </c>
      <c r="F580" t="s">
        <v>39</v>
      </c>
      <c r="G580" t="str">
        <f>"01610670356"</f>
        <v>01610670356</v>
      </c>
      <c r="I580" t="s">
        <v>413</v>
      </c>
      <c r="L580" t="s">
        <v>41</v>
      </c>
      <c r="M580">
        <v>794736</v>
      </c>
      <c r="AG580">
        <v>650317.14</v>
      </c>
      <c r="AH580" s="1">
        <v>41548</v>
      </c>
      <c r="AI580" s="1">
        <v>42643</v>
      </c>
      <c r="AJ580" s="1">
        <v>41638</v>
      </c>
    </row>
    <row r="581" spans="1:36" ht="15">
      <c r="A581" t="str">
        <f>"523375359A"</f>
        <v>523375359A</v>
      </c>
      <c r="B581" t="str">
        <f t="shared" si="28"/>
        <v>02406911202</v>
      </c>
      <c r="C581" t="s">
        <v>13</v>
      </c>
      <c r="D581" t="s">
        <v>37</v>
      </c>
      <c r="E581" t="s">
        <v>414</v>
      </c>
      <c r="F581" t="s">
        <v>353</v>
      </c>
      <c r="G581" t="str">
        <f>"00801720152"</f>
        <v>00801720152</v>
      </c>
      <c r="I581" t="s">
        <v>260</v>
      </c>
      <c r="L581" t="s">
        <v>41</v>
      </c>
      <c r="M581">
        <v>207608.6</v>
      </c>
      <c r="AG581">
        <v>281636.03</v>
      </c>
      <c r="AH581" s="1">
        <v>41442</v>
      </c>
      <c r="AI581" s="1">
        <v>42171</v>
      </c>
      <c r="AJ581" s="1">
        <v>41638</v>
      </c>
    </row>
    <row r="582" spans="1:36" ht="15">
      <c r="A582" t="str">
        <f aca="true" t="shared" si="29" ref="A582:A587">"5131624E13"</f>
        <v>5131624E13</v>
      </c>
      <c r="B582" t="str">
        <f t="shared" si="28"/>
        <v>02406911202</v>
      </c>
      <c r="C582" t="s">
        <v>13</v>
      </c>
      <c r="D582" t="s">
        <v>37</v>
      </c>
      <c r="E582" t="s">
        <v>415</v>
      </c>
      <c r="F582" t="s">
        <v>89</v>
      </c>
      <c r="G582" t="str">
        <f>"04288560370"</f>
        <v>04288560370</v>
      </c>
      <c r="I582" t="s">
        <v>216</v>
      </c>
      <c r="L582" t="s">
        <v>45</v>
      </c>
      <c r="AJ582" s="1">
        <v>41638</v>
      </c>
    </row>
    <row r="583" spans="1:36" ht="15">
      <c r="A583" t="str">
        <f t="shared" si="29"/>
        <v>5131624E13</v>
      </c>
      <c r="B583" t="str">
        <f t="shared" si="28"/>
        <v>02406911202</v>
      </c>
      <c r="C583" t="s">
        <v>13</v>
      </c>
      <c r="D583" t="s">
        <v>37</v>
      </c>
      <c r="E583" t="s">
        <v>415</v>
      </c>
      <c r="F583" t="s">
        <v>89</v>
      </c>
      <c r="G583" t="str">
        <f>"04201270370"</f>
        <v>04201270370</v>
      </c>
      <c r="I583" t="s">
        <v>221</v>
      </c>
      <c r="L583" t="s">
        <v>45</v>
      </c>
      <c r="AJ583" s="1">
        <v>41638</v>
      </c>
    </row>
    <row r="584" spans="1:36" ht="15">
      <c r="A584" t="str">
        <f t="shared" si="29"/>
        <v>5131624E13</v>
      </c>
      <c r="B584" t="str">
        <f t="shared" si="28"/>
        <v>02406911202</v>
      </c>
      <c r="C584" t="s">
        <v>13</v>
      </c>
      <c r="D584" t="s">
        <v>37</v>
      </c>
      <c r="E584" t="s">
        <v>415</v>
      </c>
      <c r="F584" t="s">
        <v>89</v>
      </c>
      <c r="G584" t="str">
        <f>"00672690377"</f>
        <v>00672690377</v>
      </c>
      <c r="I584" t="s">
        <v>218</v>
      </c>
      <c r="L584" t="s">
        <v>45</v>
      </c>
      <c r="AJ584" s="1">
        <v>41638</v>
      </c>
    </row>
    <row r="585" spans="1:36" ht="15">
      <c r="A585" t="str">
        <f t="shared" si="29"/>
        <v>5131624E13</v>
      </c>
      <c r="B585" t="str">
        <f t="shared" si="28"/>
        <v>02406911202</v>
      </c>
      <c r="C585" t="s">
        <v>13</v>
      </c>
      <c r="D585" t="s">
        <v>37</v>
      </c>
      <c r="E585" t="s">
        <v>415</v>
      </c>
      <c r="F585" t="s">
        <v>89</v>
      </c>
      <c r="G585" t="str">
        <f>"03772490375"</f>
        <v>03772490375</v>
      </c>
      <c r="I585" t="s">
        <v>416</v>
      </c>
      <c r="L585" t="s">
        <v>45</v>
      </c>
      <c r="AJ585" s="1">
        <v>41638</v>
      </c>
    </row>
    <row r="586" spans="1:36" ht="15">
      <c r="A586" t="str">
        <f t="shared" si="29"/>
        <v>5131624E13</v>
      </c>
      <c r="B586" t="str">
        <f t="shared" si="28"/>
        <v>02406911202</v>
      </c>
      <c r="C586" t="s">
        <v>13</v>
      </c>
      <c r="D586" t="s">
        <v>37</v>
      </c>
      <c r="E586" t="s">
        <v>415</v>
      </c>
      <c r="F586" t="s">
        <v>89</v>
      </c>
      <c r="G586" t="str">
        <f>"03923180370"</f>
        <v>03923180370</v>
      </c>
      <c r="I586" t="s">
        <v>417</v>
      </c>
      <c r="L586" t="s">
        <v>45</v>
      </c>
      <c r="AJ586" s="1">
        <v>41638</v>
      </c>
    </row>
    <row r="587" spans="1:36" ht="15">
      <c r="A587" t="str">
        <f t="shared" si="29"/>
        <v>5131624E13</v>
      </c>
      <c r="B587" t="str">
        <f t="shared" si="28"/>
        <v>02406911202</v>
      </c>
      <c r="C587" t="s">
        <v>13</v>
      </c>
      <c r="D587" t="s">
        <v>37</v>
      </c>
      <c r="E587" t="s">
        <v>415</v>
      </c>
      <c r="F587" t="s">
        <v>89</v>
      </c>
      <c r="G587" t="str">
        <f>"04144000371"</f>
        <v>04144000371</v>
      </c>
      <c r="I587" t="s">
        <v>220</v>
      </c>
      <c r="L587" t="s">
        <v>41</v>
      </c>
      <c r="M587">
        <v>57594.24</v>
      </c>
      <c r="AG587">
        <v>57227.65</v>
      </c>
      <c r="AH587" s="1">
        <v>41487</v>
      </c>
      <c r="AI587" s="1">
        <v>41851</v>
      </c>
      <c r="AJ587" s="1">
        <v>41638</v>
      </c>
    </row>
    <row r="588" spans="1:36" ht="15">
      <c r="A588" t="str">
        <f>"5236285F10"</f>
        <v>5236285F10</v>
      </c>
      <c r="B588" t="str">
        <f t="shared" si="28"/>
        <v>02406911202</v>
      </c>
      <c r="C588" t="s">
        <v>13</v>
      </c>
      <c r="D588" t="s">
        <v>37</v>
      </c>
      <c r="E588" t="s">
        <v>418</v>
      </c>
      <c r="F588" t="s">
        <v>86</v>
      </c>
      <c r="G588" t="str">
        <f>"03663160962"</f>
        <v>03663160962</v>
      </c>
      <c r="I588" t="s">
        <v>419</v>
      </c>
      <c r="L588" t="s">
        <v>41</v>
      </c>
      <c r="M588">
        <v>579680.68</v>
      </c>
      <c r="AG588">
        <v>384535.71</v>
      </c>
      <c r="AH588" s="1">
        <v>41470</v>
      </c>
      <c r="AI588" s="1">
        <v>41670</v>
      </c>
      <c r="AJ588" s="1">
        <v>41638</v>
      </c>
    </row>
    <row r="589" spans="1:36" ht="15">
      <c r="A589" t="str">
        <f>"5249755ADD"</f>
        <v>5249755ADD</v>
      </c>
      <c r="B589" t="str">
        <f t="shared" si="28"/>
        <v>02406911202</v>
      </c>
      <c r="C589" t="s">
        <v>13</v>
      </c>
      <c r="D589" t="s">
        <v>37</v>
      </c>
      <c r="E589" t="s">
        <v>420</v>
      </c>
      <c r="F589" t="s">
        <v>86</v>
      </c>
      <c r="G589" t="str">
        <f>"02486301209"</f>
        <v>02486301209</v>
      </c>
      <c r="I589" t="s">
        <v>421</v>
      </c>
      <c r="L589" t="s">
        <v>41</v>
      </c>
      <c r="M589">
        <v>105000</v>
      </c>
      <c r="AG589">
        <v>0</v>
      </c>
      <c r="AH589" s="1">
        <v>41471</v>
      </c>
      <c r="AI589" s="1">
        <v>42566</v>
      </c>
      <c r="AJ589" s="1">
        <v>41638</v>
      </c>
    </row>
    <row r="590" spans="1:36" ht="15">
      <c r="A590" t="str">
        <f>"Z880ABACE9"</f>
        <v>Z880ABACE9</v>
      </c>
      <c r="B590" t="str">
        <f t="shared" si="28"/>
        <v>02406911202</v>
      </c>
      <c r="C590" t="s">
        <v>13</v>
      </c>
      <c r="D590" t="s">
        <v>37</v>
      </c>
      <c r="E590" t="s">
        <v>422</v>
      </c>
      <c r="F590" t="s">
        <v>89</v>
      </c>
      <c r="G590" t="str">
        <f>"02080261007"</f>
        <v>02080261007</v>
      </c>
      <c r="I590" t="s">
        <v>423</v>
      </c>
      <c r="L590" t="s">
        <v>45</v>
      </c>
      <c r="AJ590" s="1">
        <v>41638</v>
      </c>
    </row>
    <row r="591" spans="1:36" ht="15">
      <c r="A591" t="str">
        <f>"Z880ABACE9"</f>
        <v>Z880ABACE9</v>
      </c>
      <c r="B591" t="str">
        <f t="shared" si="28"/>
        <v>02406911202</v>
      </c>
      <c r="C591" t="s">
        <v>13</v>
      </c>
      <c r="D591" t="s">
        <v>37</v>
      </c>
      <c r="E591" t="s">
        <v>422</v>
      </c>
      <c r="F591" t="s">
        <v>89</v>
      </c>
      <c r="G591" t="str">
        <f>"07332350631"</f>
        <v>07332350631</v>
      </c>
      <c r="I591" t="s">
        <v>424</v>
      </c>
      <c r="L591" t="s">
        <v>41</v>
      </c>
      <c r="M591">
        <v>1359</v>
      </c>
      <c r="AG591">
        <v>1994.74</v>
      </c>
      <c r="AH591" s="1">
        <v>41487</v>
      </c>
      <c r="AI591" s="1">
        <v>42216</v>
      </c>
      <c r="AJ591" s="1">
        <v>41638</v>
      </c>
    </row>
    <row r="592" spans="1:36" ht="15">
      <c r="A592" t="str">
        <f>"Z880ABACE9"</f>
        <v>Z880ABACE9</v>
      </c>
      <c r="B592" t="str">
        <f t="shared" si="28"/>
        <v>02406911202</v>
      </c>
      <c r="C592" t="s">
        <v>13</v>
      </c>
      <c r="D592" t="s">
        <v>37</v>
      </c>
      <c r="E592" t="s">
        <v>422</v>
      </c>
      <c r="F592" t="s">
        <v>89</v>
      </c>
      <c r="G592" t="str">
        <f>"04256050370"</f>
        <v>04256050370</v>
      </c>
      <c r="I592" t="s">
        <v>425</v>
      </c>
      <c r="L592" t="s">
        <v>45</v>
      </c>
      <c r="AJ592" s="1">
        <v>41638</v>
      </c>
    </row>
    <row r="593" spans="1:36" ht="15">
      <c r="A593" t="str">
        <f>"Z880ABACE9"</f>
        <v>Z880ABACE9</v>
      </c>
      <c r="B593" t="str">
        <f t="shared" si="28"/>
        <v>02406911202</v>
      </c>
      <c r="C593" t="s">
        <v>13</v>
      </c>
      <c r="D593" t="s">
        <v>37</v>
      </c>
      <c r="E593" t="s">
        <v>422</v>
      </c>
      <c r="F593" t="s">
        <v>89</v>
      </c>
      <c r="G593" t="str">
        <f>"04048970372"</f>
        <v>04048970372</v>
      </c>
      <c r="I593" t="s">
        <v>426</v>
      </c>
      <c r="L593" t="s">
        <v>45</v>
      </c>
      <c r="AJ593" s="1">
        <v>41638</v>
      </c>
    </row>
    <row r="594" spans="1:36" ht="15">
      <c r="A594" t="str">
        <f>"Z880ABACE9"</f>
        <v>Z880ABACE9</v>
      </c>
      <c r="B594" t="str">
        <f t="shared" si="28"/>
        <v>02406911202</v>
      </c>
      <c r="C594" t="s">
        <v>13</v>
      </c>
      <c r="D594" t="s">
        <v>37</v>
      </c>
      <c r="E594" t="s">
        <v>422</v>
      </c>
      <c r="F594" t="s">
        <v>89</v>
      </c>
      <c r="G594" t="str">
        <f>"04411460639"</f>
        <v>04411460639</v>
      </c>
      <c r="I594" t="s">
        <v>427</v>
      </c>
      <c r="L594" t="s">
        <v>45</v>
      </c>
      <c r="AJ594" s="1">
        <v>41638</v>
      </c>
    </row>
    <row r="595" spans="1:36" ht="15">
      <c r="A595" t="str">
        <f>"512246148A"</f>
        <v>512246148A</v>
      </c>
      <c r="B595" t="str">
        <f t="shared" si="28"/>
        <v>02406911202</v>
      </c>
      <c r="C595" t="s">
        <v>13</v>
      </c>
      <c r="D595" t="s">
        <v>37</v>
      </c>
      <c r="E595" t="s">
        <v>428</v>
      </c>
      <c r="F595" t="s">
        <v>86</v>
      </c>
      <c r="G595" t="str">
        <f>"02723670960"</f>
        <v>02723670960</v>
      </c>
      <c r="I595" t="s">
        <v>429</v>
      </c>
      <c r="L595" t="s">
        <v>41</v>
      </c>
      <c r="M595">
        <v>37109</v>
      </c>
      <c r="AG595">
        <v>37109</v>
      </c>
      <c r="AH595" s="1">
        <v>41477</v>
      </c>
      <c r="AI595" s="1">
        <v>41639</v>
      </c>
      <c r="AJ595" s="1">
        <v>41638</v>
      </c>
    </row>
    <row r="596" spans="1:36" ht="15">
      <c r="A596" t="str">
        <f aca="true" t="shared" si="30" ref="A596:A603">"51454786C4"</f>
        <v>51454786C4</v>
      </c>
      <c r="B596" t="str">
        <f t="shared" si="28"/>
        <v>02406911202</v>
      </c>
      <c r="C596" t="s">
        <v>13</v>
      </c>
      <c r="D596" t="s">
        <v>37</v>
      </c>
      <c r="E596" t="s">
        <v>430</v>
      </c>
      <c r="F596" t="s">
        <v>89</v>
      </c>
      <c r="G596" t="str">
        <f>"04923960159"</f>
        <v>04923960159</v>
      </c>
      <c r="I596" t="s">
        <v>334</v>
      </c>
      <c r="L596" t="s">
        <v>41</v>
      </c>
      <c r="M596">
        <v>31990</v>
      </c>
      <c r="AG596">
        <v>31990</v>
      </c>
      <c r="AH596" s="1">
        <v>41477</v>
      </c>
      <c r="AI596" s="1">
        <v>41639</v>
      </c>
      <c r="AJ596" s="1">
        <v>41638</v>
      </c>
    </row>
    <row r="597" spans="1:36" ht="15">
      <c r="A597" t="str">
        <f t="shared" si="30"/>
        <v>51454786C4</v>
      </c>
      <c r="B597" t="str">
        <f t="shared" si="28"/>
        <v>02406911202</v>
      </c>
      <c r="C597" t="s">
        <v>13</v>
      </c>
      <c r="D597" t="s">
        <v>37</v>
      </c>
      <c r="E597" t="s">
        <v>430</v>
      </c>
      <c r="F597" t="s">
        <v>89</v>
      </c>
      <c r="G597" t="str">
        <f>"02431141205"</f>
        <v>02431141205</v>
      </c>
      <c r="I597" t="s">
        <v>431</v>
      </c>
      <c r="L597" t="s">
        <v>45</v>
      </c>
      <c r="AJ597" s="1">
        <v>41638</v>
      </c>
    </row>
    <row r="598" spans="1:36" ht="15">
      <c r="A598" t="str">
        <f t="shared" si="30"/>
        <v>51454786C4</v>
      </c>
      <c r="B598" t="str">
        <f t="shared" si="28"/>
        <v>02406911202</v>
      </c>
      <c r="C598" t="s">
        <v>13</v>
      </c>
      <c r="D598" t="s">
        <v>37</v>
      </c>
      <c r="E598" t="s">
        <v>430</v>
      </c>
      <c r="F598" t="s">
        <v>89</v>
      </c>
      <c r="G598" t="str">
        <f>"11613520151"</f>
        <v>11613520151</v>
      </c>
      <c r="I598" t="s">
        <v>432</v>
      </c>
      <c r="L598" t="s">
        <v>45</v>
      </c>
      <c r="AJ598" s="1">
        <v>41638</v>
      </c>
    </row>
    <row r="599" spans="1:36" ht="15">
      <c r="A599" t="str">
        <f t="shared" si="30"/>
        <v>51454786C4</v>
      </c>
      <c r="B599" t="str">
        <f t="shared" si="28"/>
        <v>02406911202</v>
      </c>
      <c r="C599" t="s">
        <v>13</v>
      </c>
      <c r="D599" t="s">
        <v>37</v>
      </c>
      <c r="E599" t="s">
        <v>430</v>
      </c>
      <c r="F599" t="s">
        <v>89</v>
      </c>
      <c r="G599" t="str">
        <f>"00551370372"</f>
        <v>00551370372</v>
      </c>
      <c r="I599" t="s">
        <v>93</v>
      </c>
      <c r="L599" t="s">
        <v>45</v>
      </c>
      <c r="AJ599" s="1">
        <v>41638</v>
      </c>
    </row>
    <row r="600" spans="1:36" ht="15">
      <c r="A600" t="str">
        <f t="shared" si="30"/>
        <v>51454786C4</v>
      </c>
      <c r="B600" t="str">
        <f t="shared" si="28"/>
        <v>02406911202</v>
      </c>
      <c r="C600" t="s">
        <v>13</v>
      </c>
      <c r="D600" t="s">
        <v>37</v>
      </c>
      <c r="E600" t="s">
        <v>430</v>
      </c>
      <c r="F600" t="s">
        <v>89</v>
      </c>
      <c r="G600" t="str">
        <f>"00674840152"</f>
        <v>00674840152</v>
      </c>
      <c r="I600" t="s">
        <v>171</v>
      </c>
      <c r="L600" t="s">
        <v>45</v>
      </c>
      <c r="AJ600" s="1">
        <v>41638</v>
      </c>
    </row>
    <row r="601" spans="1:36" ht="15">
      <c r="A601" t="str">
        <f t="shared" si="30"/>
        <v>51454786C4</v>
      </c>
      <c r="B601" t="str">
        <f t="shared" si="28"/>
        <v>02406911202</v>
      </c>
      <c r="C601" t="s">
        <v>13</v>
      </c>
      <c r="D601" t="s">
        <v>37</v>
      </c>
      <c r="E601" t="s">
        <v>430</v>
      </c>
      <c r="F601" t="s">
        <v>89</v>
      </c>
      <c r="G601" t="str">
        <f>"03941530960"</f>
        <v>03941530960</v>
      </c>
      <c r="I601" t="s">
        <v>433</v>
      </c>
      <c r="L601" t="s">
        <v>45</v>
      </c>
      <c r="AJ601" s="1">
        <v>41638</v>
      </c>
    </row>
    <row r="602" spans="1:36" ht="15">
      <c r="A602" t="str">
        <f t="shared" si="30"/>
        <v>51454786C4</v>
      </c>
      <c r="B602" t="str">
        <f t="shared" si="28"/>
        <v>02406911202</v>
      </c>
      <c r="C602" t="s">
        <v>13</v>
      </c>
      <c r="D602" t="s">
        <v>37</v>
      </c>
      <c r="E602" t="s">
        <v>430</v>
      </c>
      <c r="F602" t="s">
        <v>89</v>
      </c>
      <c r="G602" t="str">
        <f>"00721920155"</f>
        <v>00721920155</v>
      </c>
      <c r="I602" t="s">
        <v>434</v>
      </c>
      <c r="L602" t="s">
        <v>45</v>
      </c>
      <c r="AJ602" s="1">
        <v>41638</v>
      </c>
    </row>
    <row r="603" spans="1:36" ht="15">
      <c r="A603" t="str">
        <f t="shared" si="30"/>
        <v>51454786C4</v>
      </c>
      <c r="B603" t="str">
        <f t="shared" si="28"/>
        <v>02406911202</v>
      </c>
      <c r="C603" t="s">
        <v>13</v>
      </c>
      <c r="D603" t="s">
        <v>37</v>
      </c>
      <c r="E603" t="s">
        <v>430</v>
      </c>
      <c r="F603" t="s">
        <v>89</v>
      </c>
      <c r="G603" t="str">
        <f>"05297730961"</f>
        <v>05297730961</v>
      </c>
      <c r="I603" t="s">
        <v>435</v>
      </c>
      <c r="L603" t="s">
        <v>45</v>
      </c>
      <c r="AJ603" s="1">
        <v>41638</v>
      </c>
    </row>
    <row r="604" spans="1:36" ht="15">
      <c r="A604" t="str">
        <f>"52491653FD"</f>
        <v>52491653FD</v>
      </c>
      <c r="B604" t="str">
        <f t="shared" si="28"/>
        <v>02406911202</v>
      </c>
      <c r="C604" t="s">
        <v>13</v>
      </c>
      <c r="D604" t="s">
        <v>37</v>
      </c>
      <c r="E604" t="s">
        <v>436</v>
      </c>
      <c r="F604" t="s">
        <v>106</v>
      </c>
      <c r="G604" t="str">
        <f>"02405380102"</f>
        <v>02405380102</v>
      </c>
      <c r="I604" t="s">
        <v>437</v>
      </c>
      <c r="L604" t="s">
        <v>45</v>
      </c>
      <c r="AJ604" s="1">
        <v>41638</v>
      </c>
    </row>
    <row r="605" spans="1:36" ht="15">
      <c r="A605" t="str">
        <f>"52491653FD"</f>
        <v>52491653FD</v>
      </c>
      <c r="B605" t="str">
        <f t="shared" si="28"/>
        <v>02406911202</v>
      </c>
      <c r="C605" t="s">
        <v>13</v>
      </c>
      <c r="D605" t="s">
        <v>37</v>
      </c>
      <c r="E605" t="s">
        <v>436</v>
      </c>
      <c r="F605" t="s">
        <v>106</v>
      </c>
      <c r="G605" t="str">
        <f>"01260340482"</f>
        <v>01260340482</v>
      </c>
      <c r="I605" t="s">
        <v>438</v>
      </c>
      <c r="L605" t="s">
        <v>41</v>
      </c>
      <c r="M605">
        <v>770696.81</v>
      </c>
      <c r="AG605">
        <v>1284648.79</v>
      </c>
      <c r="AH605" s="1">
        <v>41593</v>
      </c>
      <c r="AI605" s="1">
        <v>43418</v>
      </c>
      <c r="AJ605" s="1">
        <v>41638</v>
      </c>
    </row>
    <row r="606" spans="1:36" ht="15">
      <c r="A606" t="str">
        <f>"5246275316"</f>
        <v>5246275316</v>
      </c>
      <c r="B606" t="str">
        <f t="shared" si="28"/>
        <v>02406911202</v>
      </c>
      <c r="C606" t="s">
        <v>13</v>
      </c>
      <c r="D606" t="s">
        <v>37</v>
      </c>
      <c r="E606" t="s">
        <v>439</v>
      </c>
      <c r="F606" t="s">
        <v>86</v>
      </c>
      <c r="G606" t="str">
        <f>"00885211003"</f>
        <v>00885211003</v>
      </c>
      <c r="I606" t="s">
        <v>440</v>
      </c>
      <c r="L606" t="s">
        <v>41</v>
      </c>
      <c r="M606">
        <v>26000</v>
      </c>
      <c r="AG606">
        <v>15580.24</v>
      </c>
      <c r="AH606" s="1">
        <v>41487</v>
      </c>
      <c r="AI606" s="1">
        <v>41851</v>
      </c>
      <c r="AJ606" s="1">
        <v>41638</v>
      </c>
    </row>
    <row r="607" spans="1:36" ht="15">
      <c r="A607" t="str">
        <f>"5246361A0C"</f>
        <v>5246361A0C</v>
      </c>
      <c r="B607" t="str">
        <f t="shared" si="28"/>
        <v>02406911202</v>
      </c>
      <c r="C607" t="s">
        <v>13</v>
      </c>
      <c r="D607" t="s">
        <v>37</v>
      </c>
      <c r="E607" t="s">
        <v>439</v>
      </c>
      <c r="F607" t="s">
        <v>86</v>
      </c>
      <c r="G607" t="str">
        <f>"09771701001"</f>
        <v>09771701001</v>
      </c>
      <c r="I607" t="s">
        <v>441</v>
      </c>
      <c r="L607" t="s">
        <v>41</v>
      </c>
      <c r="M607">
        <v>4000</v>
      </c>
      <c r="AG607">
        <v>3060.77</v>
      </c>
      <c r="AH607" s="1">
        <v>41487</v>
      </c>
      <c r="AI607" s="1">
        <v>41851</v>
      </c>
      <c r="AJ607" s="1">
        <v>41638</v>
      </c>
    </row>
    <row r="608" spans="1:36" ht="15">
      <c r="A608" t="str">
        <f>"5231110089"</f>
        <v>5231110089</v>
      </c>
      <c r="B608" t="str">
        <f t="shared" si="28"/>
        <v>02406911202</v>
      </c>
      <c r="C608" t="s">
        <v>13</v>
      </c>
      <c r="D608" t="s">
        <v>37</v>
      </c>
      <c r="E608" t="s">
        <v>442</v>
      </c>
      <c r="F608" t="s">
        <v>86</v>
      </c>
      <c r="G608" t="str">
        <f>"09012850153"</f>
        <v>09012850153</v>
      </c>
      <c r="I608" t="s">
        <v>443</v>
      </c>
      <c r="L608" t="s">
        <v>41</v>
      </c>
      <c r="M608">
        <v>100000</v>
      </c>
      <c r="AG608">
        <v>126688</v>
      </c>
      <c r="AH608" s="1">
        <v>41487</v>
      </c>
      <c r="AI608" s="1">
        <v>41851</v>
      </c>
      <c r="AJ608" s="1">
        <v>41638</v>
      </c>
    </row>
    <row r="609" spans="1:36" ht="15">
      <c r="A609" t="str">
        <f>"51233133A2"</f>
        <v>51233133A2</v>
      </c>
      <c r="B609" t="str">
        <f t="shared" si="28"/>
        <v>02406911202</v>
      </c>
      <c r="C609" t="s">
        <v>13</v>
      </c>
      <c r="D609" t="s">
        <v>37</v>
      </c>
      <c r="E609" t="s">
        <v>444</v>
      </c>
      <c r="F609" t="s">
        <v>106</v>
      </c>
      <c r="G609" t="str">
        <f>"02812360101"</f>
        <v>02812360101</v>
      </c>
      <c r="I609" t="s">
        <v>445</v>
      </c>
      <c r="J609" t="s">
        <v>446</v>
      </c>
      <c r="K609" t="s">
        <v>51</v>
      </c>
      <c r="AJ609" s="1">
        <v>41638</v>
      </c>
    </row>
    <row r="610" spans="1:36" ht="15">
      <c r="A610" t="str">
        <f>"51233133A2"</f>
        <v>51233133A2</v>
      </c>
      <c r="B610" t="str">
        <f t="shared" si="28"/>
        <v>02406911202</v>
      </c>
      <c r="C610" t="s">
        <v>13</v>
      </c>
      <c r="D610" t="s">
        <v>37</v>
      </c>
      <c r="E610" t="s">
        <v>444</v>
      </c>
      <c r="F610" t="s">
        <v>106</v>
      </c>
      <c r="G610" t="str">
        <f>"07297190154"</f>
        <v>07297190154</v>
      </c>
      <c r="I610" t="s">
        <v>447</v>
      </c>
      <c r="J610" t="s">
        <v>446</v>
      </c>
      <c r="K610" t="s">
        <v>53</v>
      </c>
      <c r="AJ610" s="1">
        <v>41638</v>
      </c>
    </row>
    <row r="611" spans="1:36" ht="15">
      <c r="A611" t="str">
        <f>"51233133A2"</f>
        <v>51233133A2</v>
      </c>
      <c r="B611" t="str">
        <f t="shared" si="28"/>
        <v>02406911202</v>
      </c>
      <c r="C611" t="s">
        <v>13</v>
      </c>
      <c r="D611" t="s">
        <v>37</v>
      </c>
      <c r="E611" t="s">
        <v>444</v>
      </c>
      <c r="F611" t="s">
        <v>106</v>
      </c>
      <c r="I611" t="s">
        <v>446</v>
      </c>
      <c r="L611" t="s">
        <v>41</v>
      </c>
      <c r="M611">
        <v>1747298</v>
      </c>
      <c r="AG611">
        <v>2358972.99</v>
      </c>
      <c r="AH611" s="1">
        <v>41518</v>
      </c>
      <c r="AI611" s="1">
        <v>42613</v>
      </c>
      <c r="AJ611" s="1">
        <v>41638</v>
      </c>
    </row>
    <row r="612" spans="1:36" ht="15">
      <c r="A612" t="str">
        <f>"51233133A2"</f>
        <v>51233133A2</v>
      </c>
      <c r="B612" t="str">
        <f t="shared" si="28"/>
        <v>02406911202</v>
      </c>
      <c r="C612" t="s">
        <v>13</v>
      </c>
      <c r="D612" t="s">
        <v>37</v>
      </c>
      <c r="E612" t="s">
        <v>444</v>
      </c>
      <c r="F612" t="s">
        <v>106</v>
      </c>
      <c r="G612" t="str">
        <f>"07817560969"</f>
        <v>07817560969</v>
      </c>
      <c r="I612" t="s">
        <v>448</v>
      </c>
      <c r="L612" t="s">
        <v>45</v>
      </c>
      <c r="AJ612" s="1">
        <v>41638</v>
      </c>
    </row>
    <row r="613" spans="1:36" ht="15">
      <c r="A613" t="str">
        <f>"52920734CA"</f>
        <v>52920734CA</v>
      </c>
      <c r="B613" t="str">
        <f t="shared" si="28"/>
        <v>02406911202</v>
      </c>
      <c r="C613" t="s">
        <v>13</v>
      </c>
      <c r="D613" t="s">
        <v>37</v>
      </c>
      <c r="E613" t="s">
        <v>449</v>
      </c>
      <c r="F613" t="s">
        <v>353</v>
      </c>
      <c r="G613" t="str">
        <f>"07077990013"</f>
        <v>07077990013</v>
      </c>
      <c r="I613" t="s">
        <v>173</v>
      </c>
      <c r="L613" t="s">
        <v>41</v>
      </c>
      <c r="M613">
        <v>288960</v>
      </c>
      <c r="AG613">
        <v>362468</v>
      </c>
      <c r="AH613" s="1">
        <v>41507</v>
      </c>
      <c r="AI613" s="1">
        <v>41871</v>
      </c>
      <c r="AJ613" s="1">
        <v>41638</v>
      </c>
    </row>
    <row r="614" spans="1:36" ht="15">
      <c r="A614" t="str">
        <f>"5265306BF4"</f>
        <v>5265306BF4</v>
      </c>
      <c r="B614" t="str">
        <f t="shared" si="28"/>
        <v>02406911202</v>
      </c>
      <c r="C614" t="s">
        <v>13</v>
      </c>
      <c r="D614" t="s">
        <v>37</v>
      </c>
      <c r="E614" t="s">
        <v>450</v>
      </c>
      <c r="F614" t="s">
        <v>86</v>
      </c>
      <c r="G614" t="str">
        <f>"02187920968"</f>
        <v>02187920968</v>
      </c>
      <c r="I614" t="s">
        <v>49</v>
      </c>
      <c r="L614" t="s">
        <v>41</v>
      </c>
      <c r="M614">
        <v>81000</v>
      </c>
      <c r="AG614">
        <v>79687.5</v>
      </c>
      <c r="AH614" s="1">
        <v>41491</v>
      </c>
      <c r="AI614" s="1">
        <v>42586</v>
      </c>
      <c r="AJ614" s="1">
        <v>41638</v>
      </c>
    </row>
    <row r="615" spans="1:36" ht="15">
      <c r="A615" t="str">
        <f>"5249929A74"</f>
        <v>5249929A74</v>
      </c>
      <c r="B615" t="str">
        <f t="shared" si="28"/>
        <v>02406911202</v>
      </c>
      <c r="C615" t="s">
        <v>13</v>
      </c>
      <c r="D615" t="s">
        <v>37</v>
      </c>
      <c r="E615" t="s">
        <v>451</v>
      </c>
      <c r="F615" t="s">
        <v>89</v>
      </c>
      <c r="G615" t="str">
        <f>"00672690377"</f>
        <v>00672690377</v>
      </c>
      <c r="I615" t="s">
        <v>218</v>
      </c>
      <c r="L615" t="s">
        <v>41</v>
      </c>
      <c r="M615">
        <v>196780</v>
      </c>
      <c r="AG615">
        <v>0</v>
      </c>
      <c r="AH615" s="1">
        <v>41548</v>
      </c>
      <c r="AI615" s="1">
        <v>41912</v>
      </c>
      <c r="AJ615" s="1">
        <v>41638</v>
      </c>
    </row>
    <row r="616" spans="1:36" ht="15">
      <c r="A616" t="str">
        <f>"5249929A74"</f>
        <v>5249929A74</v>
      </c>
      <c r="B616" t="str">
        <f t="shared" si="28"/>
        <v>02406911202</v>
      </c>
      <c r="C616" t="s">
        <v>13</v>
      </c>
      <c r="D616" t="s">
        <v>37</v>
      </c>
      <c r="E616" t="s">
        <v>451</v>
      </c>
      <c r="F616" t="s">
        <v>89</v>
      </c>
      <c r="G616" t="str">
        <f>"01648231205"</f>
        <v>01648231205</v>
      </c>
      <c r="I616" t="s">
        <v>452</v>
      </c>
      <c r="L616" t="s">
        <v>45</v>
      </c>
      <c r="AJ616" s="1">
        <v>41638</v>
      </c>
    </row>
    <row r="617" spans="1:36" ht="15">
      <c r="A617" t="str">
        <f>"5249929A74"</f>
        <v>5249929A74</v>
      </c>
      <c r="B617" t="str">
        <f t="shared" si="28"/>
        <v>02406911202</v>
      </c>
      <c r="C617" t="s">
        <v>13</v>
      </c>
      <c r="D617" t="s">
        <v>37</v>
      </c>
      <c r="E617" t="s">
        <v>451</v>
      </c>
      <c r="F617" t="s">
        <v>89</v>
      </c>
      <c r="G617" t="str">
        <f>"03772490375"</f>
        <v>03772490375</v>
      </c>
      <c r="I617" t="s">
        <v>416</v>
      </c>
      <c r="L617" t="s">
        <v>45</v>
      </c>
      <c r="AJ617" s="1">
        <v>41638</v>
      </c>
    </row>
    <row r="618" spans="1:36" ht="15">
      <c r="A618" t="str">
        <f>"5249929A74"</f>
        <v>5249929A74</v>
      </c>
      <c r="B618" t="str">
        <f t="shared" si="28"/>
        <v>02406911202</v>
      </c>
      <c r="C618" t="s">
        <v>13</v>
      </c>
      <c r="D618" t="s">
        <v>37</v>
      </c>
      <c r="E618" t="s">
        <v>451</v>
      </c>
      <c r="F618" t="s">
        <v>89</v>
      </c>
      <c r="G618" t="str">
        <f>"02370870368"</f>
        <v>02370870368</v>
      </c>
      <c r="I618" t="s">
        <v>453</v>
      </c>
      <c r="L618" t="s">
        <v>45</v>
      </c>
      <c r="AJ618" s="1">
        <v>41638</v>
      </c>
    </row>
    <row r="619" spans="1:36" ht="15">
      <c r="A619" t="str">
        <f>"5249929A74"</f>
        <v>5249929A74</v>
      </c>
      <c r="B619" t="str">
        <f t="shared" si="28"/>
        <v>02406911202</v>
      </c>
      <c r="C619" t="s">
        <v>13</v>
      </c>
      <c r="D619" t="s">
        <v>37</v>
      </c>
      <c r="E619" t="s">
        <v>451</v>
      </c>
      <c r="F619" t="s">
        <v>89</v>
      </c>
      <c r="G619" t="str">
        <f>"04144000371"</f>
        <v>04144000371</v>
      </c>
      <c r="I619" t="s">
        <v>220</v>
      </c>
      <c r="L619" t="s">
        <v>45</v>
      </c>
      <c r="AJ619" s="1">
        <v>41638</v>
      </c>
    </row>
    <row r="620" spans="1:37" ht="15">
      <c r="A620" t="str">
        <f>"5293365EF8"</f>
        <v>5293365EF8</v>
      </c>
      <c r="B620" t="str">
        <f t="shared" si="28"/>
        <v>02406911202</v>
      </c>
      <c r="C620" t="s">
        <v>13</v>
      </c>
      <c r="D620" t="s">
        <v>37</v>
      </c>
      <c r="E620" t="s">
        <v>454</v>
      </c>
      <c r="F620" t="s">
        <v>86</v>
      </c>
      <c r="G620" t="str">
        <f>"03278841204"</f>
        <v>03278841204</v>
      </c>
      <c r="I620" t="s">
        <v>455</v>
      </c>
      <c r="L620" t="s">
        <v>41</v>
      </c>
      <c r="M620">
        <v>109368</v>
      </c>
      <c r="AG620">
        <v>109240.6</v>
      </c>
      <c r="AH620" s="1">
        <v>41512</v>
      </c>
      <c r="AI620" s="1">
        <v>41639</v>
      </c>
      <c r="AJ620" s="1">
        <v>41638</v>
      </c>
      <c r="AK620" t="s">
        <v>456</v>
      </c>
    </row>
    <row r="621" spans="1:36" ht="15">
      <c r="A621" t="str">
        <f>"5048693941"</f>
        <v>5048693941</v>
      </c>
      <c r="B621" t="str">
        <f t="shared" si="28"/>
        <v>02406911202</v>
      </c>
      <c r="C621" t="s">
        <v>13</v>
      </c>
      <c r="D621" t="s">
        <v>37</v>
      </c>
      <c r="E621" t="s">
        <v>457</v>
      </c>
      <c r="F621" t="s">
        <v>86</v>
      </c>
      <c r="G621" t="str">
        <f>"06702140960"</f>
        <v>06702140960</v>
      </c>
      <c r="I621" t="s">
        <v>458</v>
      </c>
      <c r="L621" t="s">
        <v>41</v>
      </c>
      <c r="M621">
        <v>63830</v>
      </c>
      <c r="AG621">
        <v>55872.6</v>
      </c>
      <c r="AH621" s="1">
        <v>41518</v>
      </c>
      <c r="AI621" s="1">
        <v>41882</v>
      </c>
      <c r="AJ621" s="1">
        <v>41638</v>
      </c>
    </row>
    <row r="622" spans="1:36" ht="15">
      <c r="A622" t="str">
        <f>"5182787B1F"</f>
        <v>5182787B1F</v>
      </c>
      <c r="B622" t="str">
        <f t="shared" si="28"/>
        <v>02406911202</v>
      </c>
      <c r="C622" t="s">
        <v>13</v>
      </c>
      <c r="D622" t="s">
        <v>37</v>
      </c>
      <c r="E622" t="s">
        <v>459</v>
      </c>
      <c r="F622" t="s">
        <v>89</v>
      </c>
      <c r="G622" t="str">
        <f>"05102540019"</f>
        <v>05102540019</v>
      </c>
      <c r="I622" t="s">
        <v>460</v>
      </c>
      <c r="L622" t="s">
        <v>41</v>
      </c>
      <c r="M622">
        <v>107400</v>
      </c>
      <c r="AG622">
        <v>444585.73</v>
      </c>
      <c r="AH622" s="1">
        <v>41491</v>
      </c>
      <c r="AI622" s="1">
        <v>42586</v>
      </c>
      <c r="AJ622" s="1">
        <v>41638</v>
      </c>
    </row>
    <row r="623" spans="1:36" ht="15">
      <c r="A623" t="str">
        <f>"5182787B1F"</f>
        <v>5182787B1F</v>
      </c>
      <c r="B623" t="str">
        <f t="shared" si="28"/>
        <v>02406911202</v>
      </c>
      <c r="C623" t="s">
        <v>13</v>
      </c>
      <c r="D623" t="s">
        <v>37</v>
      </c>
      <c r="E623" t="s">
        <v>459</v>
      </c>
      <c r="F623" t="s">
        <v>89</v>
      </c>
      <c r="G623" t="str">
        <f>"13144290155"</f>
        <v>13144290155</v>
      </c>
      <c r="I623" t="s">
        <v>461</v>
      </c>
      <c r="L623" t="s">
        <v>45</v>
      </c>
      <c r="AJ623" s="1">
        <v>41638</v>
      </c>
    </row>
    <row r="624" spans="1:36" ht="15">
      <c r="A624" t="str">
        <f>"5182787B1F"</f>
        <v>5182787B1F</v>
      </c>
      <c r="B624" t="str">
        <f t="shared" si="28"/>
        <v>02406911202</v>
      </c>
      <c r="C624" t="s">
        <v>13</v>
      </c>
      <c r="D624" t="s">
        <v>37</v>
      </c>
      <c r="E624" t="s">
        <v>459</v>
      </c>
      <c r="F624" t="s">
        <v>89</v>
      </c>
      <c r="G624" t="str">
        <f>"93027710016"</f>
        <v>93027710016</v>
      </c>
      <c r="I624" t="s">
        <v>46</v>
      </c>
      <c r="L624" t="s">
        <v>45</v>
      </c>
      <c r="AJ624" s="1">
        <v>41638</v>
      </c>
    </row>
    <row r="625" spans="1:36" ht="15">
      <c r="A625" t="str">
        <f>"5182787B1F"</f>
        <v>5182787B1F</v>
      </c>
      <c r="B625" t="str">
        <f t="shared" si="28"/>
        <v>02406911202</v>
      </c>
      <c r="C625" t="s">
        <v>13</v>
      </c>
      <c r="D625" t="s">
        <v>37</v>
      </c>
      <c r="E625" t="s">
        <v>459</v>
      </c>
      <c r="F625" t="s">
        <v>89</v>
      </c>
      <c r="G625" t="str">
        <f>"10181220152"</f>
        <v>10181220152</v>
      </c>
      <c r="I625" t="s">
        <v>265</v>
      </c>
      <c r="L625" t="s">
        <v>45</v>
      </c>
      <c r="AJ625" s="1">
        <v>41638</v>
      </c>
    </row>
    <row r="626" spans="1:36" ht="15">
      <c r="A626" t="str">
        <f>"5182787B1F"</f>
        <v>5182787B1F</v>
      </c>
      <c r="B626" t="str">
        <f t="shared" si="28"/>
        <v>02406911202</v>
      </c>
      <c r="C626" t="s">
        <v>13</v>
      </c>
      <c r="D626" t="s">
        <v>37</v>
      </c>
      <c r="E626" t="s">
        <v>459</v>
      </c>
      <c r="F626" t="s">
        <v>89</v>
      </c>
      <c r="G626" t="str">
        <f>"04785851009"</f>
        <v>04785851009</v>
      </c>
      <c r="I626" t="s">
        <v>462</v>
      </c>
      <c r="L626" t="s">
        <v>45</v>
      </c>
      <c r="AJ626" s="1">
        <v>41638</v>
      </c>
    </row>
    <row r="627" spans="1:36" ht="15">
      <c r="A627" t="str">
        <f>"5298366DED"</f>
        <v>5298366DED</v>
      </c>
      <c r="B627" t="str">
        <f t="shared" si="28"/>
        <v>02406911202</v>
      </c>
      <c r="C627" t="s">
        <v>13</v>
      </c>
      <c r="D627" t="s">
        <v>37</v>
      </c>
      <c r="E627" t="s">
        <v>463</v>
      </c>
      <c r="F627" t="s">
        <v>86</v>
      </c>
      <c r="G627" t="str">
        <f>"00421210485"</f>
        <v>00421210485</v>
      </c>
      <c r="I627" t="s">
        <v>464</v>
      </c>
      <c r="L627" t="s">
        <v>41</v>
      </c>
      <c r="M627">
        <v>359640</v>
      </c>
      <c r="AG627">
        <v>183716.1</v>
      </c>
      <c r="AH627" s="1">
        <v>41518</v>
      </c>
      <c r="AI627" s="1">
        <v>41639</v>
      </c>
      <c r="AJ627" s="1">
        <v>41638</v>
      </c>
    </row>
    <row r="628" spans="1:36" ht="15">
      <c r="A628" t="str">
        <f>"53025613C3"</f>
        <v>53025613C3</v>
      </c>
      <c r="B628" t="str">
        <f t="shared" si="28"/>
        <v>02406911202</v>
      </c>
      <c r="C628" t="s">
        <v>13</v>
      </c>
      <c r="D628" t="s">
        <v>37</v>
      </c>
      <c r="E628" t="s">
        <v>465</v>
      </c>
      <c r="F628" t="s">
        <v>106</v>
      </c>
      <c r="G628" t="str">
        <f>"04185110154"</f>
        <v>04185110154</v>
      </c>
      <c r="I628" t="s">
        <v>466</v>
      </c>
      <c r="J628" t="s">
        <v>467</v>
      </c>
      <c r="K628" t="s">
        <v>51</v>
      </c>
      <c r="AJ628" s="1">
        <v>41638</v>
      </c>
    </row>
    <row r="629" spans="1:36" ht="15">
      <c r="A629" t="str">
        <f>"53025613C3"</f>
        <v>53025613C3</v>
      </c>
      <c r="B629" t="str">
        <f t="shared" si="28"/>
        <v>02406911202</v>
      </c>
      <c r="C629" t="s">
        <v>13</v>
      </c>
      <c r="D629" t="s">
        <v>37</v>
      </c>
      <c r="E629" t="s">
        <v>465</v>
      </c>
      <c r="F629" t="s">
        <v>106</v>
      </c>
      <c r="G629" t="str">
        <f>"07097690965"</f>
        <v>07097690965</v>
      </c>
      <c r="I629" t="s">
        <v>468</v>
      </c>
      <c r="J629" t="s">
        <v>467</v>
      </c>
      <c r="K629" t="s">
        <v>53</v>
      </c>
      <c r="AJ629" s="1">
        <v>41638</v>
      </c>
    </row>
    <row r="630" spans="1:36" ht="15">
      <c r="A630" t="str">
        <f>"53025613C3"</f>
        <v>53025613C3</v>
      </c>
      <c r="B630" t="str">
        <f t="shared" si="28"/>
        <v>02406911202</v>
      </c>
      <c r="C630" t="s">
        <v>13</v>
      </c>
      <c r="D630" t="s">
        <v>37</v>
      </c>
      <c r="E630" t="s">
        <v>465</v>
      </c>
      <c r="F630" t="s">
        <v>106</v>
      </c>
      <c r="I630" t="s">
        <v>467</v>
      </c>
      <c r="L630" t="s">
        <v>41</v>
      </c>
      <c r="M630">
        <v>291940</v>
      </c>
      <c r="AG630">
        <v>678533.76</v>
      </c>
      <c r="AH630" s="1">
        <v>41626</v>
      </c>
      <c r="AI630" s="1">
        <v>43451</v>
      </c>
      <c r="AJ630" s="1">
        <v>41638</v>
      </c>
    </row>
    <row r="631" spans="1:36" ht="15">
      <c r="A631" t="str">
        <f>"53025613C3"</f>
        <v>53025613C3</v>
      </c>
      <c r="B631" t="str">
        <f t="shared" si="28"/>
        <v>02406911202</v>
      </c>
      <c r="C631" t="s">
        <v>13</v>
      </c>
      <c r="D631" t="s">
        <v>37</v>
      </c>
      <c r="E631" t="s">
        <v>465</v>
      </c>
      <c r="F631" t="s">
        <v>106</v>
      </c>
      <c r="G631" t="str">
        <f>"04785851009"</f>
        <v>04785851009</v>
      </c>
      <c r="I631" t="s">
        <v>462</v>
      </c>
      <c r="L631" t="s">
        <v>45</v>
      </c>
      <c r="AJ631" s="1">
        <v>41638</v>
      </c>
    </row>
    <row r="632" spans="1:36" ht="15">
      <c r="A632" t="str">
        <f>"530128244C"</f>
        <v>530128244C</v>
      </c>
      <c r="B632" t="str">
        <f t="shared" si="28"/>
        <v>02406911202</v>
      </c>
      <c r="C632" t="s">
        <v>13</v>
      </c>
      <c r="D632" t="s">
        <v>37</v>
      </c>
      <c r="E632" t="s">
        <v>469</v>
      </c>
      <c r="F632" t="s">
        <v>86</v>
      </c>
      <c r="G632" t="str">
        <f>"01392770465"</f>
        <v>01392770465</v>
      </c>
      <c r="I632" t="s">
        <v>400</v>
      </c>
      <c r="L632" t="s">
        <v>41</v>
      </c>
      <c r="M632">
        <v>637776</v>
      </c>
      <c r="AG632">
        <v>561381.93</v>
      </c>
      <c r="AH632" s="1">
        <v>41456</v>
      </c>
      <c r="AI632" s="1">
        <v>41608</v>
      </c>
      <c r="AJ632" s="1">
        <v>41638</v>
      </c>
    </row>
    <row r="633" spans="1:36" ht="15">
      <c r="A633" t="str">
        <f>"3480614588"</f>
        <v>3480614588</v>
      </c>
      <c r="B633" t="str">
        <f t="shared" si="28"/>
        <v>02406911202</v>
      </c>
      <c r="C633" t="s">
        <v>13</v>
      </c>
      <c r="D633" t="s">
        <v>37</v>
      </c>
      <c r="E633" t="s">
        <v>83</v>
      </c>
      <c r="F633" t="s">
        <v>39</v>
      </c>
      <c r="G633" t="str">
        <f>"11654150157"</f>
        <v>11654150157</v>
      </c>
      <c r="I633" t="s">
        <v>58</v>
      </c>
      <c r="L633" t="s">
        <v>41</v>
      </c>
      <c r="M633">
        <v>125057</v>
      </c>
      <c r="AG633">
        <v>4786606.67</v>
      </c>
      <c r="AH633" s="1">
        <v>41518</v>
      </c>
      <c r="AI633" s="1">
        <v>41881</v>
      </c>
      <c r="AJ633" s="1">
        <v>41638</v>
      </c>
    </row>
    <row r="634" spans="1:36" ht="15">
      <c r="A634" t="str">
        <f>"3482921554"</f>
        <v>3482921554</v>
      </c>
      <c r="B634" t="str">
        <f t="shared" si="28"/>
        <v>02406911202</v>
      </c>
      <c r="C634" t="s">
        <v>13</v>
      </c>
      <c r="D634" t="s">
        <v>37</v>
      </c>
      <c r="E634" t="s">
        <v>83</v>
      </c>
      <c r="F634" t="s">
        <v>39</v>
      </c>
      <c r="G634" t="str">
        <f>"06954380157"</f>
        <v>06954380157</v>
      </c>
      <c r="I634" t="s">
        <v>180</v>
      </c>
      <c r="L634" t="s">
        <v>41</v>
      </c>
      <c r="M634">
        <v>1004880</v>
      </c>
      <c r="AG634">
        <v>2890437.03</v>
      </c>
      <c r="AH634" s="1">
        <v>41518</v>
      </c>
      <c r="AI634" s="1">
        <v>41881</v>
      </c>
      <c r="AJ634" s="1">
        <v>41638</v>
      </c>
    </row>
    <row r="635" spans="1:36" ht="15">
      <c r="A635" t="str">
        <f>"3427628819"</f>
        <v>3427628819</v>
      </c>
      <c r="B635" t="str">
        <f t="shared" si="28"/>
        <v>02406911202</v>
      </c>
      <c r="C635" t="s">
        <v>13</v>
      </c>
      <c r="D635" t="s">
        <v>37</v>
      </c>
      <c r="E635" t="s">
        <v>83</v>
      </c>
      <c r="F635" t="s">
        <v>39</v>
      </c>
      <c r="G635" t="str">
        <f>"05991060582"</f>
        <v>05991060582</v>
      </c>
      <c r="I635" t="s">
        <v>373</v>
      </c>
      <c r="L635" t="s">
        <v>41</v>
      </c>
      <c r="M635">
        <v>4271</v>
      </c>
      <c r="AG635">
        <v>1634463.66</v>
      </c>
      <c r="AH635" s="1">
        <v>41518</v>
      </c>
      <c r="AI635" s="1">
        <v>41881</v>
      </c>
      <c r="AJ635" s="1">
        <v>41638</v>
      </c>
    </row>
    <row r="636" spans="1:36" ht="15">
      <c r="A636" t="str">
        <f>"34451324DC"</f>
        <v>34451324DC</v>
      </c>
      <c r="B636" t="str">
        <f t="shared" si="28"/>
        <v>02406911202</v>
      </c>
      <c r="C636" t="s">
        <v>13</v>
      </c>
      <c r="D636" t="s">
        <v>37</v>
      </c>
      <c r="E636" t="s">
        <v>83</v>
      </c>
      <c r="F636" t="s">
        <v>39</v>
      </c>
      <c r="G636" t="str">
        <f>"01392770465"</f>
        <v>01392770465</v>
      </c>
      <c r="I636" t="s">
        <v>400</v>
      </c>
      <c r="L636" t="s">
        <v>41</v>
      </c>
      <c r="M636">
        <v>5818</v>
      </c>
      <c r="AG636">
        <v>962059.22</v>
      </c>
      <c r="AH636" s="1">
        <v>41518</v>
      </c>
      <c r="AI636" s="1">
        <v>41881</v>
      </c>
      <c r="AJ636" s="1">
        <v>41638</v>
      </c>
    </row>
    <row r="637" spans="1:36" ht="15">
      <c r="A637" t="str">
        <f>"5304491C70"</f>
        <v>5304491C70</v>
      </c>
      <c r="B637" t="str">
        <f t="shared" si="28"/>
        <v>02406911202</v>
      </c>
      <c r="C637" t="s">
        <v>13</v>
      </c>
      <c r="D637" t="s">
        <v>37</v>
      </c>
      <c r="E637" t="s">
        <v>470</v>
      </c>
      <c r="F637" t="s">
        <v>86</v>
      </c>
      <c r="G637" t="str">
        <f>"01251280689"</f>
        <v>01251280689</v>
      </c>
      <c r="I637" t="s">
        <v>471</v>
      </c>
      <c r="L637" t="s">
        <v>41</v>
      </c>
      <c r="M637">
        <v>4674516</v>
      </c>
      <c r="AG637">
        <v>13261685.4</v>
      </c>
      <c r="AH637" s="1">
        <v>41518</v>
      </c>
      <c r="AI637" s="1">
        <v>41882</v>
      </c>
      <c r="AJ637" s="1">
        <v>41638</v>
      </c>
    </row>
    <row r="638" spans="1:36" ht="15">
      <c r="A638" t="str">
        <f>"5309143B64"</f>
        <v>5309143B64</v>
      </c>
      <c r="B638" t="str">
        <f t="shared" si="28"/>
        <v>02406911202</v>
      </c>
      <c r="C638" t="s">
        <v>13</v>
      </c>
      <c r="D638" t="s">
        <v>37</v>
      </c>
      <c r="E638" t="s">
        <v>472</v>
      </c>
      <c r="F638" t="s">
        <v>86</v>
      </c>
      <c r="G638" t="str">
        <f>"08641790152"</f>
        <v>08641790152</v>
      </c>
      <c r="I638" t="s">
        <v>114</v>
      </c>
      <c r="L638" t="s">
        <v>41</v>
      </c>
      <c r="M638">
        <v>178424</v>
      </c>
      <c r="AG638">
        <v>257528.94</v>
      </c>
      <c r="AH638" s="1">
        <v>41518</v>
      </c>
      <c r="AI638" s="1">
        <v>41882</v>
      </c>
      <c r="AJ638" s="1">
        <v>41638</v>
      </c>
    </row>
    <row r="639" spans="1:36" ht="15">
      <c r="A639" t="str">
        <f>"5235990BA0"</f>
        <v>5235990BA0</v>
      </c>
      <c r="B639" t="str">
        <f t="shared" si="28"/>
        <v>02406911202</v>
      </c>
      <c r="C639" t="s">
        <v>13</v>
      </c>
      <c r="D639" t="s">
        <v>37</v>
      </c>
      <c r="E639" t="s">
        <v>473</v>
      </c>
      <c r="F639" t="s">
        <v>89</v>
      </c>
      <c r="G639" t="str">
        <f>"00495451205"</f>
        <v>00495451205</v>
      </c>
      <c r="I639" t="s">
        <v>183</v>
      </c>
      <c r="L639" t="s">
        <v>45</v>
      </c>
      <c r="AJ639" s="1">
        <v>41638</v>
      </c>
    </row>
    <row r="640" spans="1:36" ht="15">
      <c r="A640" t="str">
        <f>"5235990BA0"</f>
        <v>5235990BA0</v>
      </c>
      <c r="B640" t="str">
        <f t="shared" si="28"/>
        <v>02406911202</v>
      </c>
      <c r="C640" t="s">
        <v>13</v>
      </c>
      <c r="D640" t="s">
        <v>37</v>
      </c>
      <c r="E640" t="s">
        <v>473</v>
      </c>
      <c r="F640" t="s">
        <v>89</v>
      </c>
      <c r="G640" t="str">
        <f>"04290860370"</f>
        <v>04290860370</v>
      </c>
      <c r="I640" t="s">
        <v>474</v>
      </c>
      <c r="L640" t="s">
        <v>45</v>
      </c>
      <c r="AJ640" s="1">
        <v>41638</v>
      </c>
    </row>
    <row r="641" spans="1:36" ht="15">
      <c r="A641" t="str">
        <f>"5235990BA0"</f>
        <v>5235990BA0</v>
      </c>
      <c r="B641" t="str">
        <f t="shared" si="28"/>
        <v>02406911202</v>
      </c>
      <c r="C641" t="s">
        <v>13</v>
      </c>
      <c r="D641" t="s">
        <v>37</v>
      </c>
      <c r="E641" t="s">
        <v>473</v>
      </c>
      <c r="F641" t="s">
        <v>89</v>
      </c>
      <c r="G641" t="str">
        <f>"11206730159"</f>
        <v>11206730159</v>
      </c>
      <c r="I641" t="s">
        <v>255</v>
      </c>
      <c r="L641" t="s">
        <v>45</v>
      </c>
      <c r="AJ641" s="1">
        <v>41638</v>
      </c>
    </row>
    <row r="642" spans="1:36" ht="15">
      <c r="A642" t="str">
        <f>"5235990BA0"</f>
        <v>5235990BA0</v>
      </c>
      <c r="B642" t="str">
        <f aca="true" t="shared" si="31" ref="B642:B705">"02406911202"</f>
        <v>02406911202</v>
      </c>
      <c r="C642" t="s">
        <v>13</v>
      </c>
      <c r="D642" t="s">
        <v>37</v>
      </c>
      <c r="E642" t="s">
        <v>473</v>
      </c>
      <c r="F642" t="s">
        <v>89</v>
      </c>
      <c r="G642" t="str">
        <f>"05653560960"</f>
        <v>05653560960</v>
      </c>
      <c r="I642" t="s">
        <v>475</v>
      </c>
      <c r="L642" t="s">
        <v>45</v>
      </c>
      <c r="AJ642" s="1">
        <v>41638</v>
      </c>
    </row>
    <row r="643" spans="1:36" ht="15">
      <c r="A643" t="str">
        <f>"5235990BA0"</f>
        <v>5235990BA0</v>
      </c>
      <c r="B643" t="str">
        <f t="shared" si="31"/>
        <v>02406911202</v>
      </c>
      <c r="C643" t="s">
        <v>13</v>
      </c>
      <c r="D643" t="s">
        <v>37</v>
      </c>
      <c r="E643" t="s">
        <v>473</v>
      </c>
      <c r="F643" t="s">
        <v>89</v>
      </c>
      <c r="G643" t="str">
        <f>"00323310375"</f>
        <v>00323310375</v>
      </c>
      <c r="I643" t="s">
        <v>153</v>
      </c>
      <c r="L643" t="s">
        <v>41</v>
      </c>
      <c r="M643">
        <v>31350</v>
      </c>
      <c r="AG643">
        <v>31093.02</v>
      </c>
      <c r="AH643" s="1">
        <v>41521</v>
      </c>
      <c r="AI643" s="1">
        <v>41729</v>
      </c>
      <c r="AJ643" s="1">
        <v>41638</v>
      </c>
    </row>
    <row r="644" spans="1:36" ht="15">
      <c r="A644" t="str">
        <f>"5262204C1A"</f>
        <v>5262204C1A</v>
      </c>
      <c r="B644" t="str">
        <f t="shared" si="31"/>
        <v>02406911202</v>
      </c>
      <c r="C644" t="s">
        <v>13</v>
      </c>
      <c r="D644" t="s">
        <v>37</v>
      </c>
      <c r="E644" t="s">
        <v>476</v>
      </c>
      <c r="F644" t="s">
        <v>89</v>
      </c>
      <c r="G644" t="str">
        <f>"07590501008"</f>
        <v>07590501008</v>
      </c>
      <c r="I644" t="s">
        <v>477</v>
      </c>
      <c r="L644" t="s">
        <v>41</v>
      </c>
      <c r="M644">
        <v>196560</v>
      </c>
      <c r="AG644">
        <v>198986.67</v>
      </c>
      <c r="AH644" s="1">
        <v>41548</v>
      </c>
      <c r="AI644" s="1">
        <v>42369</v>
      </c>
      <c r="AJ644" s="1">
        <v>41638</v>
      </c>
    </row>
    <row r="645" spans="1:36" ht="15">
      <c r="A645" t="str">
        <f>"5262204C1A"</f>
        <v>5262204C1A</v>
      </c>
      <c r="B645" t="str">
        <f t="shared" si="31"/>
        <v>02406911202</v>
      </c>
      <c r="C645" t="s">
        <v>13</v>
      </c>
      <c r="D645" t="s">
        <v>37</v>
      </c>
      <c r="E645" t="s">
        <v>476</v>
      </c>
      <c r="F645" t="s">
        <v>89</v>
      </c>
      <c r="G645" t="str">
        <f>"03509620484"</f>
        <v>03509620484</v>
      </c>
      <c r="I645" t="s">
        <v>478</v>
      </c>
      <c r="L645" t="s">
        <v>45</v>
      </c>
      <c r="AJ645" s="1">
        <v>41638</v>
      </c>
    </row>
    <row r="646" spans="1:36" ht="15">
      <c r="A646" t="str">
        <f>"5262204C1A"</f>
        <v>5262204C1A</v>
      </c>
      <c r="B646" t="str">
        <f t="shared" si="31"/>
        <v>02406911202</v>
      </c>
      <c r="C646" t="s">
        <v>13</v>
      </c>
      <c r="D646" t="s">
        <v>37</v>
      </c>
      <c r="E646" t="s">
        <v>476</v>
      </c>
      <c r="F646" t="s">
        <v>89</v>
      </c>
      <c r="G646" t="str">
        <f>"00747880151"</f>
        <v>00747880151</v>
      </c>
      <c r="I646" t="s">
        <v>479</v>
      </c>
      <c r="L646" t="s">
        <v>45</v>
      </c>
      <c r="AJ646" s="1">
        <v>41638</v>
      </c>
    </row>
    <row r="647" spans="1:36" ht="15">
      <c r="A647" t="str">
        <f>"5262204C1A"</f>
        <v>5262204C1A</v>
      </c>
      <c r="B647" t="str">
        <f t="shared" si="31"/>
        <v>02406911202</v>
      </c>
      <c r="C647" t="s">
        <v>13</v>
      </c>
      <c r="D647" t="s">
        <v>37</v>
      </c>
      <c r="E647" t="s">
        <v>476</v>
      </c>
      <c r="F647" t="s">
        <v>89</v>
      </c>
      <c r="G647" t="str">
        <f>"08174510589"</f>
        <v>08174510589</v>
      </c>
      <c r="I647" t="s">
        <v>480</v>
      </c>
      <c r="L647" t="s">
        <v>45</v>
      </c>
      <c r="AJ647" s="1">
        <v>41638</v>
      </c>
    </row>
    <row r="648" spans="1:36" ht="15">
      <c r="A648" t="str">
        <f>"5308059CD8"</f>
        <v>5308059CD8</v>
      </c>
      <c r="B648" t="str">
        <f t="shared" si="31"/>
        <v>02406911202</v>
      </c>
      <c r="C648" t="s">
        <v>13</v>
      </c>
      <c r="D648" t="s">
        <v>37</v>
      </c>
      <c r="E648" t="s">
        <v>481</v>
      </c>
      <c r="F648" t="s">
        <v>39</v>
      </c>
      <c r="G648" t="str">
        <f>"02006400960"</f>
        <v>02006400960</v>
      </c>
      <c r="I648" t="s">
        <v>482</v>
      </c>
      <c r="L648" t="s">
        <v>41</v>
      </c>
      <c r="M648">
        <v>1516320</v>
      </c>
      <c r="AG648">
        <v>1535969.53</v>
      </c>
      <c r="AH648" s="1">
        <v>41526</v>
      </c>
      <c r="AI648" s="1">
        <v>42308</v>
      </c>
      <c r="AJ648" s="1">
        <v>41638</v>
      </c>
    </row>
    <row r="649" spans="1:36" ht="15">
      <c r="A649" t="str">
        <f>"5309274780"</f>
        <v>5309274780</v>
      </c>
      <c r="B649" t="str">
        <f t="shared" si="31"/>
        <v>02406911202</v>
      </c>
      <c r="C649" t="s">
        <v>13</v>
      </c>
      <c r="D649" t="s">
        <v>37</v>
      </c>
      <c r="E649" t="s">
        <v>483</v>
      </c>
      <c r="F649" t="s">
        <v>86</v>
      </c>
      <c r="G649" t="str">
        <f>"00696360155"</f>
        <v>00696360155</v>
      </c>
      <c r="I649" t="s">
        <v>484</v>
      </c>
      <c r="L649" t="s">
        <v>41</v>
      </c>
      <c r="M649">
        <v>362418</v>
      </c>
      <c r="AG649">
        <v>218873.69</v>
      </c>
      <c r="AH649" s="1">
        <v>41523</v>
      </c>
      <c r="AI649" s="1">
        <v>41670</v>
      </c>
      <c r="AJ649" s="1">
        <v>41638</v>
      </c>
    </row>
    <row r="650" spans="1:36" ht="15">
      <c r="A650" t="str">
        <f>"5310190B67"</f>
        <v>5310190B67</v>
      </c>
      <c r="B650" t="str">
        <f t="shared" si="31"/>
        <v>02406911202</v>
      </c>
      <c r="C650" t="s">
        <v>13</v>
      </c>
      <c r="D650" t="s">
        <v>37</v>
      </c>
      <c r="E650" t="s">
        <v>483</v>
      </c>
      <c r="F650" t="s">
        <v>86</v>
      </c>
      <c r="G650" t="str">
        <f>"11654150157"</f>
        <v>11654150157</v>
      </c>
      <c r="I650" t="s">
        <v>58</v>
      </c>
      <c r="L650" t="s">
        <v>41</v>
      </c>
      <c r="M650">
        <v>252809</v>
      </c>
      <c r="AG650">
        <v>380472.03</v>
      </c>
      <c r="AH650" s="1">
        <v>41523</v>
      </c>
      <c r="AI650" s="1">
        <v>41670</v>
      </c>
      <c r="AJ650" s="1">
        <v>41638</v>
      </c>
    </row>
    <row r="651" spans="1:36" ht="15">
      <c r="A651" t="str">
        <f>"5318503783"</f>
        <v>5318503783</v>
      </c>
      <c r="B651" t="str">
        <f t="shared" si="31"/>
        <v>02406911202</v>
      </c>
      <c r="C651" t="s">
        <v>13</v>
      </c>
      <c r="D651" t="s">
        <v>37</v>
      </c>
      <c r="E651" t="s">
        <v>485</v>
      </c>
      <c r="F651" t="s">
        <v>86</v>
      </c>
      <c r="G651" t="str">
        <f>"01818301200"</f>
        <v>01818301200</v>
      </c>
      <c r="I651" t="s">
        <v>247</v>
      </c>
      <c r="L651" t="s">
        <v>41</v>
      </c>
      <c r="M651">
        <v>123967</v>
      </c>
      <c r="AG651">
        <v>123966.94</v>
      </c>
      <c r="AH651" s="1">
        <v>41533</v>
      </c>
      <c r="AI651" s="1">
        <v>41639</v>
      </c>
      <c r="AJ651" s="1">
        <v>41638</v>
      </c>
    </row>
    <row r="652" spans="1:36" ht="15">
      <c r="A652" t="str">
        <f aca="true" t="shared" si="32" ref="A652:A658">"Z9C0B72ACE"</f>
        <v>Z9C0B72ACE</v>
      </c>
      <c r="B652" t="str">
        <f t="shared" si="31"/>
        <v>02406911202</v>
      </c>
      <c r="C652" t="s">
        <v>13</v>
      </c>
      <c r="D652" t="s">
        <v>37</v>
      </c>
      <c r="E652" t="s">
        <v>486</v>
      </c>
      <c r="F652" t="s">
        <v>89</v>
      </c>
      <c r="G652" t="str">
        <f>"02893271201"</f>
        <v>02893271201</v>
      </c>
      <c r="I652" t="s">
        <v>487</v>
      </c>
      <c r="L652" t="s">
        <v>41</v>
      </c>
      <c r="M652">
        <v>17800</v>
      </c>
      <c r="AG652">
        <v>0</v>
      </c>
      <c r="AH652" s="1">
        <v>41579</v>
      </c>
      <c r="AI652" s="1">
        <v>42308</v>
      </c>
      <c r="AJ652" s="1">
        <v>41638</v>
      </c>
    </row>
    <row r="653" spans="1:36" ht="15">
      <c r="A653" t="str">
        <f t="shared" si="32"/>
        <v>Z9C0B72ACE</v>
      </c>
      <c r="B653" t="str">
        <f t="shared" si="31"/>
        <v>02406911202</v>
      </c>
      <c r="C653" t="s">
        <v>13</v>
      </c>
      <c r="D653" t="s">
        <v>37</v>
      </c>
      <c r="E653" t="s">
        <v>486</v>
      </c>
      <c r="F653" t="s">
        <v>89</v>
      </c>
      <c r="G653" t="str">
        <f>"10923790157"</f>
        <v>10923790157</v>
      </c>
      <c r="I653" t="s">
        <v>488</v>
      </c>
      <c r="L653" t="s">
        <v>45</v>
      </c>
      <c r="AJ653" s="1">
        <v>41638</v>
      </c>
    </row>
    <row r="654" spans="1:36" ht="15">
      <c r="A654" t="str">
        <f t="shared" si="32"/>
        <v>Z9C0B72ACE</v>
      </c>
      <c r="B654" t="str">
        <f t="shared" si="31"/>
        <v>02406911202</v>
      </c>
      <c r="C654" t="s">
        <v>13</v>
      </c>
      <c r="D654" t="s">
        <v>37</v>
      </c>
      <c r="E654" t="s">
        <v>486</v>
      </c>
      <c r="F654" t="s">
        <v>89</v>
      </c>
      <c r="G654" t="str">
        <f>"01796710810"</f>
        <v>01796710810</v>
      </c>
      <c r="I654" t="s">
        <v>489</v>
      </c>
      <c r="L654" t="s">
        <v>45</v>
      </c>
      <c r="AJ654" s="1">
        <v>41638</v>
      </c>
    </row>
    <row r="655" spans="1:36" ht="15">
      <c r="A655" t="str">
        <f t="shared" si="32"/>
        <v>Z9C0B72ACE</v>
      </c>
      <c r="B655" t="str">
        <f t="shared" si="31"/>
        <v>02406911202</v>
      </c>
      <c r="C655" t="s">
        <v>13</v>
      </c>
      <c r="D655" t="s">
        <v>37</v>
      </c>
      <c r="E655" t="s">
        <v>486</v>
      </c>
      <c r="F655" t="s">
        <v>89</v>
      </c>
      <c r="G655" t="str">
        <f>"10556980158"</f>
        <v>10556980158</v>
      </c>
      <c r="I655" t="s">
        <v>490</v>
      </c>
      <c r="L655" t="s">
        <v>45</v>
      </c>
      <c r="AJ655" s="1">
        <v>41638</v>
      </c>
    </row>
    <row r="656" spans="1:36" ht="15">
      <c r="A656" t="str">
        <f t="shared" si="32"/>
        <v>Z9C0B72ACE</v>
      </c>
      <c r="B656" t="str">
        <f t="shared" si="31"/>
        <v>02406911202</v>
      </c>
      <c r="C656" t="s">
        <v>13</v>
      </c>
      <c r="D656" t="s">
        <v>37</v>
      </c>
      <c r="E656" t="s">
        <v>486</v>
      </c>
      <c r="F656" t="s">
        <v>89</v>
      </c>
      <c r="G656" t="str">
        <f>"12882530152"</f>
        <v>12882530152</v>
      </c>
      <c r="I656" t="s">
        <v>491</v>
      </c>
      <c r="L656" t="s">
        <v>45</v>
      </c>
      <c r="AJ656" s="1">
        <v>41638</v>
      </c>
    </row>
    <row r="657" spans="1:36" ht="15">
      <c r="A657" t="str">
        <f t="shared" si="32"/>
        <v>Z9C0B72ACE</v>
      </c>
      <c r="B657" t="str">
        <f t="shared" si="31"/>
        <v>02406911202</v>
      </c>
      <c r="C657" t="s">
        <v>13</v>
      </c>
      <c r="D657" t="s">
        <v>37</v>
      </c>
      <c r="E657" t="s">
        <v>486</v>
      </c>
      <c r="F657" t="s">
        <v>89</v>
      </c>
      <c r="G657" t="str">
        <f>"09012850153"</f>
        <v>09012850153</v>
      </c>
      <c r="I657" t="s">
        <v>443</v>
      </c>
      <c r="L657" t="s">
        <v>45</v>
      </c>
      <c r="AJ657" s="1">
        <v>41638</v>
      </c>
    </row>
    <row r="658" spans="1:36" ht="15">
      <c r="A658" t="str">
        <f t="shared" si="32"/>
        <v>Z9C0B72ACE</v>
      </c>
      <c r="B658" t="str">
        <f t="shared" si="31"/>
        <v>02406911202</v>
      </c>
      <c r="C658" t="s">
        <v>13</v>
      </c>
      <c r="D658" t="s">
        <v>37</v>
      </c>
      <c r="E658" t="s">
        <v>486</v>
      </c>
      <c r="F658" t="s">
        <v>89</v>
      </c>
      <c r="G658" t="str">
        <f>"01057060384"</f>
        <v>01057060384</v>
      </c>
      <c r="I658" t="s">
        <v>492</v>
      </c>
      <c r="L658" t="s">
        <v>45</v>
      </c>
      <c r="AJ658" s="1">
        <v>41638</v>
      </c>
    </row>
    <row r="659" spans="1:36" ht="15">
      <c r="A659" t="str">
        <f>"5324682297"</f>
        <v>5324682297</v>
      </c>
      <c r="B659" t="str">
        <f t="shared" si="31"/>
        <v>02406911202</v>
      </c>
      <c r="C659" t="s">
        <v>13</v>
      </c>
      <c r="D659" t="s">
        <v>37</v>
      </c>
      <c r="E659" t="s">
        <v>493</v>
      </c>
      <c r="F659" t="s">
        <v>86</v>
      </c>
      <c r="G659" t="str">
        <f>"00747170157"</f>
        <v>00747170157</v>
      </c>
      <c r="I659" t="s">
        <v>351</v>
      </c>
      <c r="L659" t="s">
        <v>41</v>
      </c>
      <c r="M659">
        <v>66424</v>
      </c>
      <c r="AG659">
        <v>53969.5</v>
      </c>
      <c r="AH659" s="1">
        <v>41533</v>
      </c>
      <c r="AI659" s="1">
        <v>41639</v>
      </c>
      <c r="AJ659" s="1">
        <v>41638</v>
      </c>
    </row>
    <row r="660" spans="1:36" ht="15">
      <c r="A660" t="str">
        <f>"532475707C"</f>
        <v>532475707C</v>
      </c>
      <c r="B660" t="str">
        <f t="shared" si="31"/>
        <v>02406911202</v>
      </c>
      <c r="C660" t="s">
        <v>13</v>
      </c>
      <c r="D660" t="s">
        <v>37</v>
      </c>
      <c r="E660" t="s">
        <v>494</v>
      </c>
      <c r="F660" t="s">
        <v>39</v>
      </c>
      <c r="G660" t="str">
        <f>"11206730159"</f>
        <v>11206730159</v>
      </c>
      <c r="I660" t="s">
        <v>255</v>
      </c>
      <c r="L660" t="s">
        <v>41</v>
      </c>
      <c r="M660">
        <v>124800</v>
      </c>
      <c r="AG660">
        <v>339140</v>
      </c>
      <c r="AH660" s="1">
        <v>41533</v>
      </c>
      <c r="AI660" s="1">
        <v>42617</v>
      </c>
      <c r="AJ660" s="1">
        <v>41638</v>
      </c>
    </row>
    <row r="661" spans="1:36" ht="15">
      <c r="A661" t="str">
        <f>"53248236F1"</f>
        <v>53248236F1</v>
      </c>
      <c r="B661" t="str">
        <f t="shared" si="31"/>
        <v>02406911202</v>
      </c>
      <c r="C661" t="s">
        <v>13</v>
      </c>
      <c r="D661" t="s">
        <v>37</v>
      </c>
      <c r="E661" t="s">
        <v>494</v>
      </c>
      <c r="F661" t="s">
        <v>39</v>
      </c>
      <c r="G661" t="str">
        <f>"11206730159"</f>
        <v>11206730159</v>
      </c>
      <c r="I661" t="s">
        <v>255</v>
      </c>
      <c r="L661" t="s">
        <v>41</v>
      </c>
      <c r="M661">
        <v>40950</v>
      </c>
      <c r="AG661">
        <v>0</v>
      </c>
      <c r="AH661" s="1">
        <v>41533</v>
      </c>
      <c r="AI661" s="1">
        <v>42617</v>
      </c>
      <c r="AJ661" s="1">
        <v>41638</v>
      </c>
    </row>
    <row r="662" spans="1:36" ht="15">
      <c r="A662" t="str">
        <f>"532486057A"</f>
        <v>532486057A</v>
      </c>
      <c r="B662" t="str">
        <f t="shared" si="31"/>
        <v>02406911202</v>
      </c>
      <c r="C662" t="s">
        <v>13</v>
      </c>
      <c r="D662" t="s">
        <v>37</v>
      </c>
      <c r="E662" t="s">
        <v>494</v>
      </c>
      <c r="F662" t="s">
        <v>39</v>
      </c>
      <c r="G662" t="str">
        <f>"11206730159"</f>
        <v>11206730159</v>
      </c>
      <c r="I662" t="s">
        <v>255</v>
      </c>
      <c r="L662" t="s">
        <v>41</v>
      </c>
      <c r="M662">
        <v>28350</v>
      </c>
      <c r="AG662">
        <v>0</v>
      </c>
      <c r="AH662" s="1">
        <v>41533</v>
      </c>
      <c r="AI662" s="1">
        <v>42617</v>
      </c>
      <c r="AJ662" s="1">
        <v>41638</v>
      </c>
    </row>
    <row r="663" spans="1:36" ht="15">
      <c r="A663" t="str">
        <f>"5324883874"</f>
        <v>5324883874</v>
      </c>
      <c r="B663" t="str">
        <f t="shared" si="31"/>
        <v>02406911202</v>
      </c>
      <c r="C663" t="s">
        <v>13</v>
      </c>
      <c r="D663" t="s">
        <v>37</v>
      </c>
      <c r="E663" t="s">
        <v>494</v>
      </c>
      <c r="F663" t="s">
        <v>39</v>
      </c>
      <c r="G663" t="str">
        <f>"11206730159"</f>
        <v>11206730159</v>
      </c>
      <c r="I663" t="s">
        <v>255</v>
      </c>
      <c r="L663" t="s">
        <v>41</v>
      </c>
      <c r="M663">
        <v>62580</v>
      </c>
      <c r="AG663">
        <v>0</v>
      </c>
      <c r="AH663" s="1">
        <v>41533</v>
      </c>
      <c r="AI663" s="1">
        <v>42617</v>
      </c>
      <c r="AJ663" s="1">
        <v>41638</v>
      </c>
    </row>
    <row r="664" spans="1:36" ht="15">
      <c r="A664" t="str">
        <f>"5324902822"</f>
        <v>5324902822</v>
      </c>
      <c r="B664" t="str">
        <f t="shared" si="31"/>
        <v>02406911202</v>
      </c>
      <c r="C664" t="s">
        <v>13</v>
      </c>
      <c r="D664" t="s">
        <v>37</v>
      </c>
      <c r="E664" t="s">
        <v>494</v>
      </c>
      <c r="F664" t="s">
        <v>39</v>
      </c>
      <c r="G664" t="str">
        <f>"11206730159"</f>
        <v>11206730159</v>
      </c>
      <c r="I664" t="s">
        <v>255</v>
      </c>
      <c r="L664" t="s">
        <v>41</v>
      </c>
      <c r="M664">
        <v>17400</v>
      </c>
      <c r="AG664">
        <v>0</v>
      </c>
      <c r="AH664" s="1">
        <v>41533</v>
      </c>
      <c r="AI664" s="1">
        <v>42617</v>
      </c>
      <c r="AJ664" s="1">
        <v>41638</v>
      </c>
    </row>
    <row r="665" spans="1:36" ht="15">
      <c r="A665" t="str">
        <f>"5208613B69"</f>
        <v>5208613B69</v>
      </c>
      <c r="B665" t="str">
        <f t="shared" si="31"/>
        <v>02406911202</v>
      </c>
      <c r="C665" t="s">
        <v>13</v>
      </c>
      <c r="D665" t="s">
        <v>37</v>
      </c>
      <c r="E665" t="s">
        <v>495</v>
      </c>
      <c r="F665" t="s">
        <v>89</v>
      </c>
      <c r="G665" t="str">
        <f>"00420820383"</f>
        <v>00420820383</v>
      </c>
      <c r="I665" t="s">
        <v>496</v>
      </c>
      <c r="L665" t="s">
        <v>41</v>
      </c>
      <c r="M665">
        <v>15106</v>
      </c>
      <c r="AG665">
        <v>15106</v>
      </c>
      <c r="AH665" s="1">
        <v>41541</v>
      </c>
      <c r="AI665" s="1">
        <v>41639</v>
      </c>
      <c r="AJ665" s="1">
        <v>41638</v>
      </c>
    </row>
    <row r="666" spans="1:36" ht="15">
      <c r="A666" t="str">
        <f>"5208613B69"</f>
        <v>5208613B69</v>
      </c>
      <c r="B666" t="str">
        <f t="shared" si="31"/>
        <v>02406911202</v>
      </c>
      <c r="C666" t="s">
        <v>13</v>
      </c>
      <c r="D666" t="s">
        <v>37</v>
      </c>
      <c r="E666" t="s">
        <v>495</v>
      </c>
      <c r="F666" t="s">
        <v>89</v>
      </c>
      <c r="G666" t="str">
        <f>"03281501217"</f>
        <v>03281501217</v>
      </c>
      <c r="I666" t="s">
        <v>497</v>
      </c>
      <c r="L666" t="s">
        <v>45</v>
      </c>
      <c r="AJ666" s="1">
        <v>41638</v>
      </c>
    </row>
    <row r="667" spans="1:36" ht="15">
      <c r="A667" t="str">
        <f>"5208613B69"</f>
        <v>5208613B69</v>
      </c>
      <c r="B667" t="str">
        <f t="shared" si="31"/>
        <v>02406911202</v>
      </c>
      <c r="C667" t="s">
        <v>13</v>
      </c>
      <c r="D667" t="s">
        <v>37</v>
      </c>
      <c r="E667" t="s">
        <v>495</v>
      </c>
      <c r="F667" t="s">
        <v>89</v>
      </c>
      <c r="G667" t="str">
        <f>"01786290161"</f>
        <v>01786290161</v>
      </c>
      <c r="I667" t="s">
        <v>498</v>
      </c>
      <c r="L667" t="s">
        <v>45</v>
      </c>
      <c r="AJ667" s="1">
        <v>41638</v>
      </c>
    </row>
    <row r="668" spans="1:36" ht="15">
      <c r="A668" t="str">
        <f>"532375559A"</f>
        <v>532375559A</v>
      </c>
      <c r="B668" t="str">
        <f t="shared" si="31"/>
        <v>02406911202</v>
      </c>
      <c r="C668" t="s">
        <v>13</v>
      </c>
      <c r="D668" t="s">
        <v>37</v>
      </c>
      <c r="E668" t="s">
        <v>499</v>
      </c>
      <c r="F668" t="s">
        <v>86</v>
      </c>
      <c r="G668" t="str">
        <f>"06954380157"</f>
        <v>06954380157</v>
      </c>
      <c r="I668" t="s">
        <v>180</v>
      </c>
      <c r="L668" t="s">
        <v>41</v>
      </c>
      <c r="M668">
        <v>112500</v>
      </c>
      <c r="AG668">
        <v>322500</v>
      </c>
      <c r="AH668" s="1">
        <v>41535</v>
      </c>
      <c r="AI668" s="1">
        <v>41820</v>
      </c>
      <c r="AJ668" s="1">
        <v>41638</v>
      </c>
    </row>
    <row r="669" spans="1:36" ht="15">
      <c r="A669" t="str">
        <f>"53295904CC"</f>
        <v>53295904CC</v>
      </c>
      <c r="B669" t="str">
        <f t="shared" si="31"/>
        <v>02406911202</v>
      </c>
      <c r="C669" t="s">
        <v>13</v>
      </c>
      <c r="D669" t="s">
        <v>37</v>
      </c>
      <c r="E669" t="s">
        <v>500</v>
      </c>
      <c r="F669" t="s">
        <v>86</v>
      </c>
      <c r="G669" t="str">
        <f>"02642020156"</f>
        <v>02642020156</v>
      </c>
      <c r="I669" t="s">
        <v>501</v>
      </c>
      <c r="L669" t="s">
        <v>41</v>
      </c>
      <c r="M669">
        <v>78400</v>
      </c>
      <c r="AG669">
        <v>0</v>
      </c>
      <c r="AH669" s="1">
        <v>41537</v>
      </c>
      <c r="AI669" s="1">
        <v>41820</v>
      </c>
      <c r="AJ669" s="1">
        <v>41638</v>
      </c>
    </row>
    <row r="670" spans="1:36" ht="15">
      <c r="A670" t="str">
        <f>"5289836EBF"</f>
        <v>5289836EBF</v>
      </c>
      <c r="B670" t="str">
        <f t="shared" si="31"/>
        <v>02406911202</v>
      </c>
      <c r="C670" t="s">
        <v>13</v>
      </c>
      <c r="D670" t="s">
        <v>37</v>
      </c>
      <c r="E670" t="s">
        <v>502</v>
      </c>
      <c r="F670" t="s">
        <v>89</v>
      </c>
      <c r="G670" t="str">
        <f>"01896541206"</f>
        <v>01896541206</v>
      </c>
      <c r="I670" t="s">
        <v>503</v>
      </c>
      <c r="L670" t="s">
        <v>41</v>
      </c>
      <c r="M670">
        <v>42000</v>
      </c>
      <c r="AG670">
        <v>42000</v>
      </c>
      <c r="AH670" s="1">
        <v>41543</v>
      </c>
      <c r="AI670" s="1">
        <v>41547</v>
      </c>
      <c r="AJ670" s="1">
        <v>41638</v>
      </c>
    </row>
    <row r="671" spans="1:36" ht="15">
      <c r="A671" t="str">
        <f>"5289836EBF"</f>
        <v>5289836EBF</v>
      </c>
      <c r="B671" t="str">
        <f t="shared" si="31"/>
        <v>02406911202</v>
      </c>
      <c r="C671" t="s">
        <v>13</v>
      </c>
      <c r="D671" t="s">
        <v>37</v>
      </c>
      <c r="E671" t="s">
        <v>502</v>
      </c>
      <c r="F671" t="s">
        <v>89</v>
      </c>
      <c r="G671" t="str">
        <f>"02219710353"</f>
        <v>02219710353</v>
      </c>
      <c r="I671" t="s">
        <v>504</v>
      </c>
      <c r="L671" t="s">
        <v>45</v>
      </c>
      <c r="AJ671" s="1">
        <v>41638</v>
      </c>
    </row>
    <row r="672" spans="1:36" ht="15">
      <c r="A672" t="str">
        <f>"5289836EBF"</f>
        <v>5289836EBF</v>
      </c>
      <c r="B672" t="str">
        <f t="shared" si="31"/>
        <v>02406911202</v>
      </c>
      <c r="C672" t="s">
        <v>13</v>
      </c>
      <c r="D672" t="s">
        <v>37</v>
      </c>
      <c r="E672" t="s">
        <v>502</v>
      </c>
      <c r="F672" t="s">
        <v>89</v>
      </c>
      <c r="G672" t="str">
        <f>"00132190356"</f>
        <v>00132190356</v>
      </c>
      <c r="I672" t="s">
        <v>505</v>
      </c>
      <c r="L672" t="s">
        <v>45</v>
      </c>
      <c r="AJ672" s="1">
        <v>41638</v>
      </c>
    </row>
    <row r="673" spans="1:36" ht="15">
      <c r="A673" t="str">
        <f>"5289836EBF"</f>
        <v>5289836EBF</v>
      </c>
      <c r="B673" t="str">
        <f t="shared" si="31"/>
        <v>02406911202</v>
      </c>
      <c r="C673" t="s">
        <v>13</v>
      </c>
      <c r="D673" t="s">
        <v>37</v>
      </c>
      <c r="E673" t="s">
        <v>502</v>
      </c>
      <c r="F673" t="s">
        <v>89</v>
      </c>
      <c r="G673" t="str">
        <f>"01937071205"</f>
        <v>01937071205</v>
      </c>
      <c r="I673" t="s">
        <v>506</v>
      </c>
      <c r="L673" t="s">
        <v>45</v>
      </c>
      <c r="AJ673" s="1">
        <v>41638</v>
      </c>
    </row>
    <row r="674" spans="1:36" ht="15">
      <c r="A674" t="str">
        <f>"5289836EBF"</f>
        <v>5289836EBF</v>
      </c>
      <c r="B674" t="str">
        <f t="shared" si="31"/>
        <v>02406911202</v>
      </c>
      <c r="C674" t="s">
        <v>13</v>
      </c>
      <c r="D674" t="s">
        <v>37</v>
      </c>
      <c r="E674" t="s">
        <v>502</v>
      </c>
      <c r="F674" t="s">
        <v>89</v>
      </c>
      <c r="G674" t="str">
        <f>"00219580479"</f>
        <v>00219580479</v>
      </c>
      <c r="I674" t="s">
        <v>507</v>
      </c>
      <c r="L674" t="s">
        <v>45</v>
      </c>
      <c r="AJ674" s="1">
        <v>41638</v>
      </c>
    </row>
    <row r="675" spans="1:36" ht="15">
      <c r="A675" t="str">
        <f>"ZBDOBA4FD7"</f>
        <v>ZBDOBA4FD7</v>
      </c>
      <c r="B675" t="str">
        <f t="shared" si="31"/>
        <v>02406911202</v>
      </c>
      <c r="C675" t="s">
        <v>13</v>
      </c>
      <c r="D675" t="s">
        <v>37</v>
      </c>
      <c r="E675" t="s">
        <v>508</v>
      </c>
      <c r="F675" t="s">
        <v>353</v>
      </c>
      <c r="G675" t="str">
        <f>"00438000481"</f>
        <v>00438000481</v>
      </c>
      <c r="I675" t="s">
        <v>509</v>
      </c>
      <c r="L675" t="s">
        <v>41</v>
      </c>
      <c r="M675">
        <v>1119</v>
      </c>
      <c r="AG675">
        <v>0</v>
      </c>
      <c r="AH675" s="1">
        <v>41543</v>
      </c>
      <c r="AI675" s="1">
        <v>41639</v>
      </c>
      <c r="AJ675" s="1">
        <v>41638</v>
      </c>
    </row>
    <row r="676" spans="1:36" ht="15">
      <c r="A676" t="str">
        <f>"5340068B82"</f>
        <v>5340068B82</v>
      </c>
      <c r="B676" t="str">
        <f t="shared" si="31"/>
        <v>02406911202</v>
      </c>
      <c r="C676" t="s">
        <v>13</v>
      </c>
      <c r="D676" t="s">
        <v>37</v>
      </c>
      <c r="E676" t="s">
        <v>510</v>
      </c>
      <c r="F676" t="s">
        <v>86</v>
      </c>
      <c r="G676" t="str">
        <f>"03428610152"</f>
        <v>03428610152</v>
      </c>
      <c r="I676" t="s">
        <v>201</v>
      </c>
      <c r="L676" t="s">
        <v>41</v>
      </c>
      <c r="M676">
        <v>60000</v>
      </c>
      <c r="AG676">
        <v>175282.51</v>
      </c>
      <c r="AH676" s="1">
        <v>41518</v>
      </c>
      <c r="AI676" s="1">
        <v>41670</v>
      </c>
      <c r="AJ676" s="1">
        <v>41638</v>
      </c>
    </row>
    <row r="677" spans="1:36" ht="15">
      <c r="A677" t="str">
        <f>"5342466668"</f>
        <v>5342466668</v>
      </c>
      <c r="B677" t="str">
        <f t="shared" si="31"/>
        <v>02406911202</v>
      </c>
      <c r="C677" t="s">
        <v>13</v>
      </c>
      <c r="D677" t="s">
        <v>37</v>
      </c>
      <c r="E677" t="s">
        <v>510</v>
      </c>
      <c r="F677" t="s">
        <v>86</v>
      </c>
      <c r="G677" t="str">
        <f>"10051170156"</f>
        <v>10051170156</v>
      </c>
      <c r="I677" t="s">
        <v>178</v>
      </c>
      <c r="L677" t="s">
        <v>41</v>
      </c>
      <c r="M677">
        <v>107272</v>
      </c>
      <c r="AG677">
        <v>59750</v>
      </c>
      <c r="AH677" s="1">
        <v>41518</v>
      </c>
      <c r="AI677" s="1">
        <v>41670</v>
      </c>
      <c r="AJ677" s="1">
        <v>41638</v>
      </c>
    </row>
    <row r="678" spans="1:36" ht="15">
      <c r="A678" t="str">
        <f>"ZB30B8EB32"</f>
        <v>ZB30B8EB32</v>
      </c>
      <c r="B678" t="str">
        <f t="shared" si="31"/>
        <v>02406911202</v>
      </c>
      <c r="C678" t="s">
        <v>13</v>
      </c>
      <c r="D678" t="s">
        <v>37</v>
      </c>
      <c r="E678" t="s">
        <v>511</v>
      </c>
      <c r="F678" t="s">
        <v>39</v>
      </c>
      <c r="G678" t="str">
        <f>"01788080156"</f>
        <v>01788080156</v>
      </c>
      <c r="I678" t="s">
        <v>314</v>
      </c>
      <c r="L678" t="s">
        <v>41</v>
      </c>
      <c r="M678">
        <v>8150</v>
      </c>
      <c r="AG678">
        <v>0</v>
      </c>
      <c r="AH678" s="1">
        <v>41548</v>
      </c>
      <c r="AI678" s="1">
        <v>41670</v>
      </c>
      <c r="AJ678" s="1">
        <v>41638</v>
      </c>
    </row>
    <row r="679" spans="1:36" ht="15">
      <c r="A679" t="str">
        <f>"5331900711"</f>
        <v>5331900711</v>
      </c>
      <c r="B679" t="str">
        <f t="shared" si="31"/>
        <v>02406911202</v>
      </c>
      <c r="C679" t="s">
        <v>13</v>
      </c>
      <c r="D679" t="s">
        <v>37</v>
      </c>
      <c r="E679" t="s">
        <v>511</v>
      </c>
      <c r="F679" t="s">
        <v>39</v>
      </c>
      <c r="G679" t="str">
        <f>"02298700010"</f>
        <v>02298700010</v>
      </c>
      <c r="I679" t="s">
        <v>512</v>
      </c>
      <c r="L679" t="s">
        <v>41</v>
      </c>
      <c r="M679">
        <v>81540</v>
      </c>
      <c r="AG679">
        <v>81540</v>
      </c>
      <c r="AH679" s="1">
        <v>41548</v>
      </c>
      <c r="AI679" s="1">
        <v>41670</v>
      </c>
      <c r="AJ679" s="1">
        <v>41638</v>
      </c>
    </row>
    <row r="680" spans="1:36" ht="15">
      <c r="A680" t="str">
        <f>"5309129FD5"</f>
        <v>5309129FD5</v>
      </c>
      <c r="B680" t="str">
        <f t="shared" si="31"/>
        <v>02406911202</v>
      </c>
      <c r="C680" t="s">
        <v>13</v>
      </c>
      <c r="D680" t="s">
        <v>37</v>
      </c>
      <c r="E680" t="s">
        <v>513</v>
      </c>
      <c r="F680" t="s">
        <v>89</v>
      </c>
      <c r="G680" t="str">
        <f>"01049101007"</f>
        <v>01049101007</v>
      </c>
      <c r="I680" t="s">
        <v>514</v>
      </c>
      <c r="L680" t="s">
        <v>45</v>
      </c>
      <c r="AJ680" s="1">
        <v>41638</v>
      </c>
    </row>
    <row r="681" spans="1:36" ht="15">
      <c r="A681" t="str">
        <f>"5309129FD5"</f>
        <v>5309129FD5</v>
      </c>
      <c r="B681" t="str">
        <f t="shared" si="31"/>
        <v>02406911202</v>
      </c>
      <c r="C681" t="s">
        <v>13</v>
      </c>
      <c r="D681" t="s">
        <v>37</v>
      </c>
      <c r="E681" t="s">
        <v>513</v>
      </c>
      <c r="F681" t="s">
        <v>89</v>
      </c>
      <c r="G681" t="str">
        <f>"00132190356"</f>
        <v>00132190356</v>
      </c>
      <c r="I681" t="s">
        <v>505</v>
      </c>
      <c r="L681" t="s">
        <v>45</v>
      </c>
      <c r="AJ681" s="1">
        <v>41638</v>
      </c>
    </row>
    <row r="682" spans="1:36" ht="15">
      <c r="A682" t="str">
        <f>"5309129FD5"</f>
        <v>5309129FD5</v>
      </c>
      <c r="B682" t="str">
        <f t="shared" si="31"/>
        <v>02406911202</v>
      </c>
      <c r="C682" t="s">
        <v>13</v>
      </c>
      <c r="D682" t="s">
        <v>37</v>
      </c>
      <c r="E682" t="s">
        <v>513</v>
      </c>
      <c r="F682" t="s">
        <v>89</v>
      </c>
      <c r="G682" t="str">
        <f>"01937071205"</f>
        <v>01937071205</v>
      </c>
      <c r="I682" t="s">
        <v>506</v>
      </c>
      <c r="L682" t="s">
        <v>45</v>
      </c>
      <c r="AJ682" s="1">
        <v>41638</v>
      </c>
    </row>
    <row r="683" spans="1:36" ht="15">
      <c r="A683" t="str">
        <f>"5309129FD5"</f>
        <v>5309129FD5</v>
      </c>
      <c r="B683" t="str">
        <f t="shared" si="31"/>
        <v>02406911202</v>
      </c>
      <c r="C683" t="s">
        <v>13</v>
      </c>
      <c r="D683" t="s">
        <v>37</v>
      </c>
      <c r="E683" t="s">
        <v>513</v>
      </c>
      <c r="F683" t="s">
        <v>89</v>
      </c>
      <c r="G683" t="str">
        <f>"00219580479"</f>
        <v>00219580479</v>
      </c>
      <c r="I683" t="s">
        <v>507</v>
      </c>
      <c r="L683" t="s">
        <v>45</v>
      </c>
      <c r="AJ683" s="1">
        <v>41638</v>
      </c>
    </row>
    <row r="684" spans="1:36" ht="15">
      <c r="A684" t="str">
        <f>"5309129FD5"</f>
        <v>5309129FD5</v>
      </c>
      <c r="B684" t="str">
        <f t="shared" si="31"/>
        <v>02406911202</v>
      </c>
      <c r="C684" t="s">
        <v>13</v>
      </c>
      <c r="D684" t="s">
        <v>37</v>
      </c>
      <c r="E684" t="s">
        <v>513</v>
      </c>
      <c r="F684" t="s">
        <v>89</v>
      </c>
      <c r="G684" t="str">
        <f>"01896541206"</f>
        <v>01896541206</v>
      </c>
      <c r="I684" t="s">
        <v>503</v>
      </c>
      <c r="L684" t="s">
        <v>41</v>
      </c>
      <c r="M684">
        <v>57500</v>
      </c>
      <c r="AG684">
        <v>57500</v>
      </c>
      <c r="AH684" s="1">
        <v>41550</v>
      </c>
      <c r="AI684" s="1">
        <v>41729</v>
      </c>
      <c r="AJ684" s="1">
        <v>41638</v>
      </c>
    </row>
    <row r="685" spans="1:36" ht="15">
      <c r="A685" t="str">
        <f>"5342141A34"</f>
        <v>5342141A34</v>
      </c>
      <c r="B685" t="str">
        <f t="shared" si="31"/>
        <v>02406911202</v>
      </c>
      <c r="C685" t="s">
        <v>13</v>
      </c>
      <c r="D685" t="s">
        <v>37</v>
      </c>
      <c r="E685" t="s">
        <v>515</v>
      </c>
      <c r="F685" t="s">
        <v>86</v>
      </c>
      <c r="G685" t="str">
        <f>"05131180969"</f>
        <v>05131180969</v>
      </c>
      <c r="I685" t="s">
        <v>516</v>
      </c>
      <c r="L685" t="s">
        <v>41</v>
      </c>
      <c r="M685">
        <v>48270</v>
      </c>
      <c r="AG685">
        <v>48270</v>
      </c>
      <c r="AH685" s="1">
        <v>41548</v>
      </c>
      <c r="AI685" s="1">
        <v>41608</v>
      </c>
      <c r="AJ685" s="1">
        <v>41638</v>
      </c>
    </row>
    <row r="686" spans="1:36" ht="15">
      <c r="A686" t="str">
        <f>"5339469D32"</f>
        <v>5339469D32</v>
      </c>
      <c r="B686" t="str">
        <f t="shared" si="31"/>
        <v>02406911202</v>
      </c>
      <c r="C686" t="s">
        <v>13</v>
      </c>
      <c r="D686" t="s">
        <v>37</v>
      </c>
      <c r="E686" t="s">
        <v>517</v>
      </c>
      <c r="F686" t="s">
        <v>39</v>
      </c>
      <c r="G686" t="str">
        <f>"01751900877"</f>
        <v>01751900877</v>
      </c>
      <c r="I686" t="s">
        <v>73</v>
      </c>
      <c r="L686" t="s">
        <v>41</v>
      </c>
      <c r="M686">
        <v>180180</v>
      </c>
      <c r="AG686">
        <v>924061.23</v>
      </c>
      <c r="AH686" s="1">
        <v>41548</v>
      </c>
      <c r="AI686" s="1">
        <v>41670</v>
      </c>
      <c r="AJ686" s="1">
        <v>41638</v>
      </c>
    </row>
    <row r="687" spans="1:36" ht="15">
      <c r="A687" t="str">
        <f>"53442885F8"</f>
        <v>53442885F8</v>
      </c>
      <c r="B687" t="str">
        <f t="shared" si="31"/>
        <v>02406911202</v>
      </c>
      <c r="C687" t="s">
        <v>13</v>
      </c>
      <c r="D687" t="s">
        <v>37</v>
      </c>
      <c r="E687" t="s">
        <v>518</v>
      </c>
      <c r="F687" t="s">
        <v>106</v>
      </c>
      <c r="G687" t="str">
        <f>"09577370019"</f>
        <v>09577370019</v>
      </c>
      <c r="I687" t="s">
        <v>519</v>
      </c>
      <c r="L687" t="s">
        <v>41</v>
      </c>
      <c r="M687">
        <v>322079</v>
      </c>
      <c r="AG687">
        <v>418583.45</v>
      </c>
      <c r="AH687" s="1">
        <v>41579</v>
      </c>
      <c r="AI687" s="1">
        <v>43039</v>
      </c>
      <c r="AJ687" s="1">
        <v>41638</v>
      </c>
    </row>
    <row r="688" spans="1:36" ht="15">
      <c r="A688" t="str">
        <f>"53517514A2"</f>
        <v>53517514A2</v>
      </c>
      <c r="B688" t="str">
        <f t="shared" si="31"/>
        <v>02406911202</v>
      </c>
      <c r="C688" t="s">
        <v>13</v>
      </c>
      <c r="D688" t="s">
        <v>37</v>
      </c>
      <c r="E688" t="s">
        <v>520</v>
      </c>
      <c r="F688" t="s">
        <v>39</v>
      </c>
      <c r="G688" t="str">
        <f>"09238800156"</f>
        <v>09238800156</v>
      </c>
      <c r="I688" t="s">
        <v>257</v>
      </c>
      <c r="L688" t="s">
        <v>41</v>
      </c>
      <c r="M688">
        <v>868800</v>
      </c>
      <c r="AG688">
        <v>659179.22</v>
      </c>
      <c r="AH688" s="1">
        <v>41554</v>
      </c>
      <c r="AI688" s="1">
        <v>42634</v>
      </c>
      <c r="AJ688" s="1">
        <v>41638</v>
      </c>
    </row>
    <row r="689" spans="1:36" ht="15">
      <c r="A689" t="str">
        <f>"5356157893"</f>
        <v>5356157893</v>
      </c>
      <c r="B689" t="str">
        <f t="shared" si="31"/>
        <v>02406911202</v>
      </c>
      <c r="C689" t="s">
        <v>13</v>
      </c>
      <c r="D689" t="s">
        <v>37</v>
      </c>
      <c r="E689" t="s">
        <v>521</v>
      </c>
      <c r="F689" t="s">
        <v>86</v>
      </c>
      <c r="G689" t="str">
        <f>"02637200219"</f>
        <v>02637200219</v>
      </c>
      <c r="I689" t="s">
        <v>522</v>
      </c>
      <c r="L689" t="s">
        <v>41</v>
      </c>
      <c r="M689">
        <v>48508</v>
      </c>
      <c r="AG689">
        <v>48508.14</v>
      </c>
      <c r="AH689" s="1">
        <v>41554</v>
      </c>
      <c r="AI689" s="1">
        <v>41639</v>
      </c>
      <c r="AJ689" s="1">
        <v>41638</v>
      </c>
    </row>
    <row r="690" spans="1:37" ht="15">
      <c r="A690" t="str">
        <f>"53607327FC"</f>
        <v>53607327FC</v>
      </c>
      <c r="B690" t="str">
        <f t="shared" si="31"/>
        <v>02406911202</v>
      </c>
      <c r="C690" t="s">
        <v>13</v>
      </c>
      <c r="D690" t="s">
        <v>37</v>
      </c>
      <c r="E690" t="s">
        <v>523</v>
      </c>
      <c r="F690" t="s">
        <v>353</v>
      </c>
      <c r="G690" t="str">
        <f>"00645130238"</f>
        <v>00645130238</v>
      </c>
      <c r="I690" t="s">
        <v>524</v>
      </c>
      <c r="L690" t="s">
        <v>41</v>
      </c>
      <c r="M690">
        <v>53512.39</v>
      </c>
      <c r="AG690">
        <v>118704.8</v>
      </c>
      <c r="AH690" s="1">
        <v>41548</v>
      </c>
      <c r="AI690" s="1">
        <v>41912</v>
      </c>
      <c r="AJ690" s="1">
        <v>41638</v>
      </c>
      <c r="AK690" s="2" t="s">
        <v>525</v>
      </c>
    </row>
    <row r="691" spans="1:36" ht="15">
      <c r="A691" t="str">
        <f>"53688768A0"</f>
        <v>53688768A0</v>
      </c>
      <c r="B691" t="str">
        <f t="shared" si="31"/>
        <v>02406911202</v>
      </c>
      <c r="C691" t="s">
        <v>13</v>
      </c>
      <c r="D691" t="s">
        <v>37</v>
      </c>
      <c r="E691" t="s">
        <v>526</v>
      </c>
      <c r="F691" t="s">
        <v>89</v>
      </c>
      <c r="G691" t="str">
        <f>"00227010139"</f>
        <v>00227010139</v>
      </c>
      <c r="I691" t="s">
        <v>335</v>
      </c>
      <c r="L691" t="s">
        <v>41</v>
      </c>
      <c r="M691">
        <v>49800</v>
      </c>
      <c r="AG691">
        <v>15288</v>
      </c>
      <c r="AH691" s="1">
        <v>41548</v>
      </c>
      <c r="AI691" s="1">
        <v>42277</v>
      </c>
      <c r="AJ691" s="1">
        <v>41638</v>
      </c>
    </row>
    <row r="692" spans="1:36" ht="15">
      <c r="A692" t="str">
        <f>"536900209D"</f>
        <v>536900209D</v>
      </c>
      <c r="B692" t="str">
        <f t="shared" si="31"/>
        <v>02406911202</v>
      </c>
      <c r="C692" t="s">
        <v>13</v>
      </c>
      <c r="D692" t="s">
        <v>37</v>
      </c>
      <c r="E692" t="s">
        <v>527</v>
      </c>
      <c r="F692" t="s">
        <v>39</v>
      </c>
      <c r="G692" t="str">
        <f>"11264670156"</f>
        <v>11264670156</v>
      </c>
      <c r="I692" t="s">
        <v>386</v>
      </c>
      <c r="L692" t="s">
        <v>41</v>
      </c>
      <c r="M692">
        <v>85500</v>
      </c>
      <c r="AG692">
        <v>0</v>
      </c>
      <c r="AH692" s="1">
        <v>41561</v>
      </c>
      <c r="AI692" s="1">
        <v>42638</v>
      </c>
      <c r="AJ692" s="1">
        <v>41638</v>
      </c>
    </row>
    <row r="693" spans="1:36" ht="15">
      <c r="A693" t="str">
        <f>"536905190A"</f>
        <v>536905190A</v>
      </c>
      <c r="B693" t="str">
        <f t="shared" si="31"/>
        <v>02406911202</v>
      </c>
      <c r="C693" t="s">
        <v>13</v>
      </c>
      <c r="D693" t="s">
        <v>37</v>
      </c>
      <c r="E693" t="s">
        <v>527</v>
      </c>
      <c r="F693" t="s">
        <v>39</v>
      </c>
      <c r="G693" t="str">
        <f>"11264670156"</f>
        <v>11264670156</v>
      </c>
      <c r="I693" t="s">
        <v>386</v>
      </c>
      <c r="L693" t="s">
        <v>41</v>
      </c>
      <c r="M693">
        <v>39000</v>
      </c>
      <c r="AG693">
        <v>0</v>
      </c>
      <c r="AH693" s="1">
        <v>41561</v>
      </c>
      <c r="AI693" s="1">
        <v>42638</v>
      </c>
      <c r="AJ693" s="1">
        <v>41638</v>
      </c>
    </row>
    <row r="694" spans="1:36" ht="15">
      <c r="A694" t="str">
        <f>"5369074C04"</f>
        <v>5369074C04</v>
      </c>
      <c r="B694" t="str">
        <f t="shared" si="31"/>
        <v>02406911202</v>
      </c>
      <c r="C694" t="s">
        <v>13</v>
      </c>
      <c r="D694" t="s">
        <v>37</v>
      </c>
      <c r="E694" t="s">
        <v>527</v>
      </c>
      <c r="F694" t="s">
        <v>39</v>
      </c>
      <c r="G694" t="str">
        <f>"11264670156"</f>
        <v>11264670156</v>
      </c>
      <c r="I694" t="s">
        <v>386</v>
      </c>
      <c r="L694" t="s">
        <v>41</v>
      </c>
      <c r="M694">
        <v>142500</v>
      </c>
      <c r="AG694">
        <v>191760</v>
      </c>
      <c r="AH694" s="1">
        <v>41561</v>
      </c>
      <c r="AI694" s="1">
        <v>42638</v>
      </c>
      <c r="AJ694" s="1">
        <v>41638</v>
      </c>
    </row>
    <row r="695" spans="1:36" ht="15">
      <c r="A695" t="str">
        <f>"5369108814"</f>
        <v>5369108814</v>
      </c>
      <c r="B695" t="str">
        <f t="shared" si="31"/>
        <v>02406911202</v>
      </c>
      <c r="C695" t="s">
        <v>13</v>
      </c>
      <c r="D695" t="s">
        <v>37</v>
      </c>
      <c r="E695" t="s">
        <v>527</v>
      </c>
      <c r="F695" t="s">
        <v>39</v>
      </c>
      <c r="G695" t="str">
        <f>"11264670156"</f>
        <v>11264670156</v>
      </c>
      <c r="I695" t="s">
        <v>386</v>
      </c>
      <c r="L695" t="s">
        <v>41</v>
      </c>
      <c r="M695">
        <v>7650</v>
      </c>
      <c r="AG695">
        <v>0</v>
      </c>
      <c r="AH695" s="1">
        <v>41561</v>
      </c>
      <c r="AI695" s="1">
        <v>42638</v>
      </c>
      <c r="AJ695" s="1">
        <v>41638</v>
      </c>
    </row>
    <row r="696" spans="1:36" ht="15">
      <c r="A696" t="str">
        <f>"5370709146"</f>
        <v>5370709146</v>
      </c>
      <c r="B696" t="str">
        <f t="shared" si="31"/>
        <v>02406911202</v>
      </c>
      <c r="C696" t="s">
        <v>13</v>
      </c>
      <c r="D696" t="s">
        <v>37</v>
      </c>
      <c r="E696" t="s">
        <v>528</v>
      </c>
      <c r="F696" t="s">
        <v>106</v>
      </c>
      <c r="G696" t="str">
        <f>"01866180134"</f>
        <v>01866180134</v>
      </c>
      <c r="I696" t="s">
        <v>529</v>
      </c>
      <c r="L696" t="s">
        <v>45</v>
      </c>
      <c r="AJ696" s="1">
        <v>41638</v>
      </c>
    </row>
    <row r="697" spans="1:36" ht="15">
      <c r="A697" t="str">
        <f>"5370709146"</f>
        <v>5370709146</v>
      </c>
      <c r="B697" t="str">
        <f t="shared" si="31"/>
        <v>02406911202</v>
      </c>
      <c r="C697" t="s">
        <v>13</v>
      </c>
      <c r="D697" t="s">
        <v>37</v>
      </c>
      <c r="E697" t="s">
        <v>528</v>
      </c>
      <c r="F697" t="s">
        <v>106</v>
      </c>
      <c r="G697" t="str">
        <f>"06111530637"</f>
        <v>06111530637</v>
      </c>
      <c r="I697" t="s">
        <v>530</v>
      </c>
      <c r="L697" t="s">
        <v>41</v>
      </c>
      <c r="M697">
        <v>56412</v>
      </c>
      <c r="AG697">
        <v>0</v>
      </c>
      <c r="AH697" s="1">
        <v>41609</v>
      </c>
      <c r="AI697" s="1">
        <v>42704</v>
      </c>
      <c r="AJ697" s="1">
        <v>41638</v>
      </c>
    </row>
    <row r="698" spans="1:36" ht="15">
      <c r="A698" t="str">
        <f>"5370709146"</f>
        <v>5370709146</v>
      </c>
      <c r="B698" t="str">
        <f t="shared" si="31"/>
        <v>02406911202</v>
      </c>
      <c r="C698" t="s">
        <v>13</v>
      </c>
      <c r="D698" t="s">
        <v>37</v>
      </c>
      <c r="E698" t="s">
        <v>528</v>
      </c>
      <c r="F698" t="s">
        <v>106</v>
      </c>
      <c r="G698" t="str">
        <f>"02387941202"</f>
        <v>02387941202</v>
      </c>
      <c r="I698" t="s">
        <v>531</v>
      </c>
      <c r="L698" t="s">
        <v>45</v>
      </c>
      <c r="AJ698" s="1">
        <v>41638</v>
      </c>
    </row>
    <row r="699" spans="1:36" ht="15">
      <c r="A699" t="str">
        <f>"5370709146"</f>
        <v>5370709146</v>
      </c>
      <c r="B699" t="str">
        <f t="shared" si="31"/>
        <v>02406911202</v>
      </c>
      <c r="C699" t="s">
        <v>13</v>
      </c>
      <c r="D699" t="s">
        <v>37</v>
      </c>
      <c r="E699" t="s">
        <v>528</v>
      </c>
      <c r="F699" t="s">
        <v>106</v>
      </c>
      <c r="G699" t="str">
        <f>"04192740969"</f>
        <v>04192740969</v>
      </c>
      <c r="I699" t="s">
        <v>532</v>
      </c>
      <c r="L699" t="s">
        <v>45</v>
      </c>
      <c r="AJ699" s="1">
        <v>41638</v>
      </c>
    </row>
    <row r="700" spans="1:36" ht="15">
      <c r="A700" t="str">
        <f>"5370709146"</f>
        <v>5370709146</v>
      </c>
      <c r="B700" t="str">
        <f t="shared" si="31"/>
        <v>02406911202</v>
      </c>
      <c r="C700" t="s">
        <v>13</v>
      </c>
      <c r="D700" t="s">
        <v>37</v>
      </c>
      <c r="E700" t="s">
        <v>528</v>
      </c>
      <c r="F700" t="s">
        <v>106</v>
      </c>
      <c r="G700" t="str">
        <f>"03428610152"</f>
        <v>03428610152</v>
      </c>
      <c r="I700" t="s">
        <v>201</v>
      </c>
      <c r="L700" t="s">
        <v>45</v>
      </c>
      <c r="AJ700" s="1">
        <v>41638</v>
      </c>
    </row>
    <row r="701" spans="1:36" ht="15">
      <c r="A701" t="str">
        <f>"5370772542"</f>
        <v>5370772542</v>
      </c>
      <c r="B701" t="str">
        <f t="shared" si="31"/>
        <v>02406911202</v>
      </c>
      <c r="C701" t="s">
        <v>13</v>
      </c>
      <c r="D701" t="s">
        <v>37</v>
      </c>
      <c r="E701" t="s">
        <v>528</v>
      </c>
      <c r="F701" t="s">
        <v>106</v>
      </c>
      <c r="G701" t="str">
        <f>"01866180134"</f>
        <v>01866180134</v>
      </c>
      <c r="I701" t="s">
        <v>529</v>
      </c>
      <c r="L701" t="s">
        <v>45</v>
      </c>
      <c r="AJ701" s="1">
        <v>41638</v>
      </c>
    </row>
    <row r="702" spans="1:36" ht="15">
      <c r="A702" t="str">
        <f>"5370772542"</f>
        <v>5370772542</v>
      </c>
      <c r="B702" t="str">
        <f t="shared" si="31"/>
        <v>02406911202</v>
      </c>
      <c r="C702" t="s">
        <v>13</v>
      </c>
      <c r="D702" t="s">
        <v>37</v>
      </c>
      <c r="E702" t="s">
        <v>528</v>
      </c>
      <c r="F702" t="s">
        <v>106</v>
      </c>
      <c r="G702" t="str">
        <f>"06111530637"</f>
        <v>06111530637</v>
      </c>
      <c r="I702" t="s">
        <v>530</v>
      </c>
      <c r="L702" t="s">
        <v>45</v>
      </c>
      <c r="AJ702" s="1">
        <v>41638</v>
      </c>
    </row>
    <row r="703" spans="1:36" ht="15">
      <c r="A703" t="str">
        <f>"5370772542"</f>
        <v>5370772542</v>
      </c>
      <c r="B703" t="str">
        <f t="shared" si="31"/>
        <v>02406911202</v>
      </c>
      <c r="C703" t="s">
        <v>13</v>
      </c>
      <c r="D703" t="s">
        <v>37</v>
      </c>
      <c r="E703" t="s">
        <v>528</v>
      </c>
      <c r="F703" t="s">
        <v>106</v>
      </c>
      <c r="G703" t="str">
        <f>"02387941202"</f>
        <v>02387941202</v>
      </c>
      <c r="I703" t="s">
        <v>531</v>
      </c>
      <c r="L703" t="s">
        <v>41</v>
      </c>
      <c r="M703">
        <v>86456</v>
      </c>
      <c r="AG703">
        <v>59519.55</v>
      </c>
      <c r="AH703" s="1">
        <v>41609</v>
      </c>
      <c r="AI703" s="1">
        <v>42704</v>
      </c>
      <c r="AJ703" s="1">
        <v>41638</v>
      </c>
    </row>
    <row r="704" spans="1:36" ht="15">
      <c r="A704" t="str">
        <f>"5370772542"</f>
        <v>5370772542</v>
      </c>
      <c r="B704" t="str">
        <f t="shared" si="31"/>
        <v>02406911202</v>
      </c>
      <c r="C704" t="s">
        <v>13</v>
      </c>
      <c r="D704" t="s">
        <v>37</v>
      </c>
      <c r="E704" t="s">
        <v>528</v>
      </c>
      <c r="F704" t="s">
        <v>106</v>
      </c>
      <c r="G704" t="str">
        <f>"04192740969"</f>
        <v>04192740969</v>
      </c>
      <c r="I704" t="s">
        <v>532</v>
      </c>
      <c r="L704" t="s">
        <v>45</v>
      </c>
      <c r="AJ704" s="1">
        <v>41638</v>
      </c>
    </row>
    <row r="705" spans="1:36" ht="15">
      <c r="A705" t="str">
        <f>"5370772542"</f>
        <v>5370772542</v>
      </c>
      <c r="B705" t="str">
        <f t="shared" si="31"/>
        <v>02406911202</v>
      </c>
      <c r="C705" t="s">
        <v>13</v>
      </c>
      <c r="D705" t="s">
        <v>37</v>
      </c>
      <c r="E705" t="s">
        <v>528</v>
      </c>
      <c r="F705" t="s">
        <v>106</v>
      </c>
      <c r="G705" t="str">
        <f>"03428610152"</f>
        <v>03428610152</v>
      </c>
      <c r="I705" t="s">
        <v>201</v>
      </c>
      <c r="L705" t="s">
        <v>45</v>
      </c>
      <c r="AJ705" s="1">
        <v>41638</v>
      </c>
    </row>
    <row r="706" spans="1:36" ht="15">
      <c r="A706" t="str">
        <f>"537079690F"</f>
        <v>537079690F</v>
      </c>
      <c r="B706" t="str">
        <f aca="true" t="shared" si="33" ref="B706:B769">"02406911202"</f>
        <v>02406911202</v>
      </c>
      <c r="C706" t="s">
        <v>13</v>
      </c>
      <c r="D706" t="s">
        <v>37</v>
      </c>
      <c r="E706" t="s">
        <v>528</v>
      </c>
      <c r="F706" t="s">
        <v>106</v>
      </c>
      <c r="G706" t="str">
        <f>"01866180134"</f>
        <v>01866180134</v>
      </c>
      <c r="I706" t="s">
        <v>529</v>
      </c>
      <c r="L706" t="s">
        <v>45</v>
      </c>
      <c r="AJ706" s="1">
        <v>41638</v>
      </c>
    </row>
    <row r="707" spans="1:36" ht="15">
      <c r="A707" t="str">
        <f>"537079690F"</f>
        <v>537079690F</v>
      </c>
      <c r="B707" t="str">
        <f t="shared" si="33"/>
        <v>02406911202</v>
      </c>
      <c r="C707" t="s">
        <v>13</v>
      </c>
      <c r="D707" t="s">
        <v>37</v>
      </c>
      <c r="E707" t="s">
        <v>528</v>
      </c>
      <c r="F707" t="s">
        <v>106</v>
      </c>
      <c r="G707" t="str">
        <f>"06111530637"</f>
        <v>06111530637</v>
      </c>
      <c r="I707" t="s">
        <v>530</v>
      </c>
      <c r="L707" t="s">
        <v>45</v>
      </c>
      <c r="AJ707" s="1">
        <v>41638</v>
      </c>
    </row>
    <row r="708" spans="1:36" ht="15">
      <c r="A708" t="str">
        <f>"537079690F"</f>
        <v>537079690F</v>
      </c>
      <c r="B708" t="str">
        <f t="shared" si="33"/>
        <v>02406911202</v>
      </c>
      <c r="C708" t="s">
        <v>13</v>
      </c>
      <c r="D708" t="s">
        <v>37</v>
      </c>
      <c r="E708" t="s">
        <v>528</v>
      </c>
      <c r="F708" t="s">
        <v>106</v>
      </c>
      <c r="G708" t="str">
        <f>"02387941202"</f>
        <v>02387941202</v>
      </c>
      <c r="I708" t="s">
        <v>531</v>
      </c>
      <c r="L708" t="s">
        <v>45</v>
      </c>
      <c r="AJ708" s="1">
        <v>41638</v>
      </c>
    </row>
    <row r="709" spans="1:36" ht="15">
      <c r="A709" t="str">
        <f>"537079690F"</f>
        <v>537079690F</v>
      </c>
      <c r="B709" t="str">
        <f t="shared" si="33"/>
        <v>02406911202</v>
      </c>
      <c r="C709" t="s">
        <v>13</v>
      </c>
      <c r="D709" t="s">
        <v>37</v>
      </c>
      <c r="E709" t="s">
        <v>528</v>
      </c>
      <c r="F709" t="s">
        <v>106</v>
      </c>
      <c r="G709" t="str">
        <f>"04192740969"</f>
        <v>04192740969</v>
      </c>
      <c r="I709" t="s">
        <v>532</v>
      </c>
      <c r="L709" t="s">
        <v>41</v>
      </c>
      <c r="M709">
        <v>53542</v>
      </c>
      <c r="AG709">
        <v>85605.99</v>
      </c>
      <c r="AH709" s="1">
        <v>41609</v>
      </c>
      <c r="AI709" s="1">
        <v>42704</v>
      </c>
      <c r="AJ709" s="1">
        <v>41638</v>
      </c>
    </row>
    <row r="710" spans="1:36" ht="15">
      <c r="A710" t="str">
        <f>"537079690F"</f>
        <v>537079690F</v>
      </c>
      <c r="B710" t="str">
        <f t="shared" si="33"/>
        <v>02406911202</v>
      </c>
      <c r="C710" t="s">
        <v>13</v>
      </c>
      <c r="D710" t="s">
        <v>37</v>
      </c>
      <c r="E710" t="s">
        <v>528</v>
      </c>
      <c r="F710" t="s">
        <v>106</v>
      </c>
      <c r="G710" t="str">
        <f>"03428610152"</f>
        <v>03428610152</v>
      </c>
      <c r="I710" t="s">
        <v>201</v>
      </c>
      <c r="L710" t="s">
        <v>45</v>
      </c>
      <c r="AJ710" s="1">
        <v>41638</v>
      </c>
    </row>
    <row r="711" spans="1:36" ht="15">
      <c r="A711" t="str">
        <f>"5370860DDE"</f>
        <v>5370860DDE</v>
      </c>
      <c r="B711" t="str">
        <f t="shared" si="33"/>
        <v>02406911202</v>
      </c>
      <c r="C711" t="s">
        <v>13</v>
      </c>
      <c r="D711" t="s">
        <v>37</v>
      </c>
      <c r="E711" t="s">
        <v>528</v>
      </c>
      <c r="F711" t="s">
        <v>106</v>
      </c>
      <c r="G711" t="str">
        <f>"01866180134"</f>
        <v>01866180134</v>
      </c>
      <c r="I711" t="s">
        <v>529</v>
      </c>
      <c r="L711" t="s">
        <v>45</v>
      </c>
      <c r="AJ711" s="1">
        <v>41638</v>
      </c>
    </row>
    <row r="712" spans="1:36" ht="15">
      <c r="A712" t="str">
        <f>"5370860DDE"</f>
        <v>5370860DDE</v>
      </c>
      <c r="B712" t="str">
        <f t="shared" si="33"/>
        <v>02406911202</v>
      </c>
      <c r="C712" t="s">
        <v>13</v>
      </c>
      <c r="D712" t="s">
        <v>37</v>
      </c>
      <c r="E712" t="s">
        <v>528</v>
      </c>
      <c r="F712" t="s">
        <v>106</v>
      </c>
      <c r="G712" t="str">
        <f>"06111530637"</f>
        <v>06111530637</v>
      </c>
      <c r="I712" t="s">
        <v>530</v>
      </c>
      <c r="L712" t="s">
        <v>45</v>
      </c>
      <c r="AJ712" s="1">
        <v>41638</v>
      </c>
    </row>
    <row r="713" spans="1:36" ht="15">
      <c r="A713" t="str">
        <f>"5370860DDE"</f>
        <v>5370860DDE</v>
      </c>
      <c r="B713" t="str">
        <f t="shared" si="33"/>
        <v>02406911202</v>
      </c>
      <c r="C713" t="s">
        <v>13</v>
      </c>
      <c r="D713" t="s">
        <v>37</v>
      </c>
      <c r="E713" t="s">
        <v>528</v>
      </c>
      <c r="F713" t="s">
        <v>106</v>
      </c>
      <c r="G713" t="str">
        <f>"02387941202"</f>
        <v>02387941202</v>
      </c>
      <c r="I713" t="s">
        <v>531</v>
      </c>
      <c r="L713" t="s">
        <v>45</v>
      </c>
      <c r="AJ713" s="1">
        <v>41638</v>
      </c>
    </row>
    <row r="714" spans="1:36" ht="15">
      <c r="A714" t="str">
        <f>"5370860DDE"</f>
        <v>5370860DDE</v>
      </c>
      <c r="B714" t="str">
        <f t="shared" si="33"/>
        <v>02406911202</v>
      </c>
      <c r="C714" t="s">
        <v>13</v>
      </c>
      <c r="D714" t="s">
        <v>37</v>
      </c>
      <c r="E714" t="s">
        <v>528</v>
      </c>
      <c r="F714" t="s">
        <v>106</v>
      </c>
      <c r="G714" t="str">
        <f>"04192740969"</f>
        <v>04192740969</v>
      </c>
      <c r="I714" t="s">
        <v>532</v>
      </c>
      <c r="L714" t="s">
        <v>45</v>
      </c>
      <c r="AJ714" s="1">
        <v>41638</v>
      </c>
    </row>
    <row r="715" spans="1:36" ht="15">
      <c r="A715" t="str">
        <f>"5370860DDE"</f>
        <v>5370860DDE</v>
      </c>
      <c r="B715" t="str">
        <f t="shared" si="33"/>
        <v>02406911202</v>
      </c>
      <c r="C715" t="s">
        <v>13</v>
      </c>
      <c r="D715" t="s">
        <v>37</v>
      </c>
      <c r="E715" t="s">
        <v>528</v>
      </c>
      <c r="F715" t="s">
        <v>106</v>
      </c>
      <c r="G715" t="str">
        <f>"03428610152"</f>
        <v>03428610152</v>
      </c>
      <c r="I715" t="s">
        <v>201</v>
      </c>
      <c r="L715" t="s">
        <v>41</v>
      </c>
      <c r="M715">
        <v>6269</v>
      </c>
      <c r="AG715">
        <v>88058.14</v>
      </c>
      <c r="AH715" s="1">
        <v>41609</v>
      </c>
      <c r="AI715" s="1">
        <v>42704</v>
      </c>
      <c r="AJ715" s="1">
        <v>41638</v>
      </c>
    </row>
    <row r="716" spans="1:36" ht="15">
      <c r="A716" t="str">
        <f>"0704444D90"</f>
        <v>0704444D90</v>
      </c>
      <c r="B716" t="str">
        <f t="shared" si="33"/>
        <v>02406911202</v>
      </c>
      <c r="C716" t="s">
        <v>13</v>
      </c>
      <c r="D716" t="s">
        <v>37</v>
      </c>
      <c r="E716" t="s">
        <v>533</v>
      </c>
      <c r="F716" t="s">
        <v>86</v>
      </c>
      <c r="G716" t="str">
        <f>"05653560960"</f>
        <v>05653560960</v>
      </c>
      <c r="I716" t="s">
        <v>475</v>
      </c>
      <c r="L716" t="s">
        <v>41</v>
      </c>
      <c r="M716">
        <v>3000</v>
      </c>
      <c r="AG716">
        <v>370271.06</v>
      </c>
      <c r="AH716" s="1">
        <v>41562</v>
      </c>
      <c r="AI716" s="1">
        <v>41639</v>
      </c>
      <c r="AJ716" s="1">
        <v>41638</v>
      </c>
    </row>
    <row r="717" spans="1:36" ht="15">
      <c r="A717" t="str">
        <f>"53798665DD"</f>
        <v>53798665DD</v>
      </c>
      <c r="B717" t="str">
        <f t="shared" si="33"/>
        <v>02406911202</v>
      </c>
      <c r="C717" t="s">
        <v>13</v>
      </c>
      <c r="D717" t="s">
        <v>37</v>
      </c>
      <c r="E717" t="s">
        <v>534</v>
      </c>
      <c r="F717" t="s">
        <v>39</v>
      </c>
      <c r="G717" t="str">
        <f>"01475191001"</f>
        <v>01475191001</v>
      </c>
      <c r="I717" t="s">
        <v>535</v>
      </c>
      <c r="L717" t="s">
        <v>41</v>
      </c>
      <c r="M717">
        <v>170576</v>
      </c>
      <c r="AG717">
        <v>327112</v>
      </c>
      <c r="AH717" s="1">
        <v>41568</v>
      </c>
      <c r="AI717" s="1">
        <v>41639</v>
      </c>
      <c r="AJ717" s="1">
        <v>41638</v>
      </c>
    </row>
    <row r="718" spans="1:36" ht="15">
      <c r="A718" t="str">
        <f>"53799868E3"</f>
        <v>53799868E3</v>
      </c>
      <c r="B718" t="str">
        <f t="shared" si="33"/>
        <v>02406911202</v>
      </c>
      <c r="C718" t="s">
        <v>13</v>
      </c>
      <c r="D718" t="s">
        <v>37</v>
      </c>
      <c r="E718" t="s">
        <v>534</v>
      </c>
      <c r="F718" t="s">
        <v>39</v>
      </c>
      <c r="G718" t="str">
        <f>"01475191001"</f>
        <v>01475191001</v>
      </c>
      <c r="I718" t="s">
        <v>535</v>
      </c>
      <c r="L718" t="s">
        <v>41</v>
      </c>
      <c r="M718">
        <v>152256</v>
      </c>
      <c r="AG718">
        <v>0</v>
      </c>
      <c r="AH718" s="1">
        <v>41568</v>
      </c>
      <c r="AI718" s="1">
        <v>41639</v>
      </c>
      <c r="AJ718" s="1">
        <v>41638</v>
      </c>
    </row>
    <row r="719" spans="1:36" ht="15">
      <c r="A719" t="str">
        <f>"5379916F1D"</f>
        <v>5379916F1D</v>
      </c>
      <c r="B719" t="str">
        <f t="shared" si="33"/>
        <v>02406911202</v>
      </c>
      <c r="C719" t="s">
        <v>13</v>
      </c>
      <c r="D719" t="s">
        <v>37</v>
      </c>
      <c r="E719" t="s">
        <v>534</v>
      </c>
      <c r="F719" t="s">
        <v>39</v>
      </c>
      <c r="G719" t="str">
        <f>"02707070963"</f>
        <v>02707070963</v>
      </c>
      <c r="I719" t="s">
        <v>536</v>
      </c>
      <c r="L719" t="s">
        <v>41</v>
      </c>
      <c r="M719">
        <v>2747</v>
      </c>
      <c r="AG719">
        <v>1387.5</v>
      </c>
      <c r="AH719" s="1">
        <v>41568</v>
      </c>
      <c r="AI719" s="1">
        <v>41639</v>
      </c>
      <c r="AJ719" s="1">
        <v>41638</v>
      </c>
    </row>
    <row r="720" spans="1:36" ht="15">
      <c r="A720" t="str">
        <f>"537995929D"</f>
        <v>537995929D</v>
      </c>
      <c r="B720" t="str">
        <f t="shared" si="33"/>
        <v>02406911202</v>
      </c>
      <c r="C720" t="s">
        <v>13</v>
      </c>
      <c r="D720" t="s">
        <v>37</v>
      </c>
      <c r="E720" t="s">
        <v>534</v>
      </c>
      <c r="F720" t="s">
        <v>39</v>
      </c>
      <c r="G720" t="str">
        <f>"01392770465"</f>
        <v>01392770465</v>
      </c>
      <c r="I720" t="s">
        <v>400</v>
      </c>
      <c r="L720" t="s">
        <v>41</v>
      </c>
      <c r="M720">
        <v>325969</v>
      </c>
      <c r="AG720">
        <v>331216.05</v>
      </c>
      <c r="AH720" s="1">
        <v>41568</v>
      </c>
      <c r="AI720" s="1">
        <v>41639</v>
      </c>
      <c r="AJ720" s="1">
        <v>41638</v>
      </c>
    </row>
    <row r="721" spans="1:36" ht="15">
      <c r="A721" t="str">
        <f>"5268679B71"</f>
        <v>5268679B71</v>
      </c>
      <c r="B721" t="str">
        <f t="shared" si="33"/>
        <v>02406911202</v>
      </c>
      <c r="C721" t="s">
        <v>13</v>
      </c>
      <c r="D721" t="s">
        <v>37</v>
      </c>
      <c r="E721" t="s">
        <v>537</v>
      </c>
      <c r="F721" t="s">
        <v>86</v>
      </c>
      <c r="G721" t="str">
        <f>"10028190154"</f>
        <v>10028190154</v>
      </c>
      <c r="I721" t="s">
        <v>538</v>
      </c>
      <c r="L721" t="s">
        <v>41</v>
      </c>
      <c r="M721">
        <v>63000</v>
      </c>
      <c r="AG721">
        <v>340108.06</v>
      </c>
      <c r="AH721" s="1">
        <v>41579</v>
      </c>
      <c r="AI721" s="1">
        <v>42674</v>
      </c>
      <c r="AJ721" s="1">
        <v>41638</v>
      </c>
    </row>
    <row r="722" spans="1:36" ht="15">
      <c r="A722" t="str">
        <f>"5268778D23"</f>
        <v>5268778D23</v>
      </c>
      <c r="B722" t="str">
        <f t="shared" si="33"/>
        <v>02406911202</v>
      </c>
      <c r="C722" t="s">
        <v>13</v>
      </c>
      <c r="D722" t="s">
        <v>37</v>
      </c>
      <c r="E722" t="s">
        <v>537</v>
      </c>
      <c r="F722" t="s">
        <v>86</v>
      </c>
      <c r="G722" t="str">
        <f>"00574250379"</f>
        <v>00574250379</v>
      </c>
      <c r="I722" t="s">
        <v>539</v>
      </c>
      <c r="L722" t="s">
        <v>41</v>
      </c>
      <c r="M722">
        <v>276000</v>
      </c>
      <c r="AG722">
        <v>195689.08</v>
      </c>
      <c r="AH722" s="1">
        <v>41579</v>
      </c>
      <c r="AI722" s="1">
        <v>42674</v>
      </c>
      <c r="AJ722" s="1">
        <v>41638</v>
      </c>
    </row>
    <row r="723" spans="1:36" ht="15">
      <c r="A723" t="str">
        <f>"5268812933"</f>
        <v>5268812933</v>
      </c>
      <c r="B723" t="str">
        <f t="shared" si="33"/>
        <v>02406911202</v>
      </c>
      <c r="C723" t="s">
        <v>13</v>
      </c>
      <c r="D723" t="s">
        <v>37</v>
      </c>
      <c r="E723" t="s">
        <v>537</v>
      </c>
      <c r="F723" t="s">
        <v>86</v>
      </c>
      <c r="G723" t="str">
        <f>"12512890158"</f>
        <v>12512890158</v>
      </c>
      <c r="I723" t="s">
        <v>540</v>
      </c>
      <c r="L723" t="s">
        <v>41</v>
      </c>
      <c r="M723">
        <v>15000</v>
      </c>
      <c r="AG723">
        <v>173797.54</v>
      </c>
      <c r="AH723" s="1">
        <v>41579</v>
      </c>
      <c r="AI723" s="1">
        <v>42674</v>
      </c>
      <c r="AJ723" s="1">
        <v>41638</v>
      </c>
    </row>
    <row r="724" spans="1:36" ht="15">
      <c r="A724" t="str">
        <f>"5268838EA6"</f>
        <v>5268838EA6</v>
      </c>
      <c r="B724" t="str">
        <f t="shared" si="33"/>
        <v>02406911202</v>
      </c>
      <c r="C724" t="s">
        <v>13</v>
      </c>
      <c r="D724" t="s">
        <v>37</v>
      </c>
      <c r="E724" t="s">
        <v>537</v>
      </c>
      <c r="F724" t="s">
        <v>86</v>
      </c>
      <c r="G724" t="str">
        <f>"06106601005"</f>
        <v>06106601005</v>
      </c>
      <c r="I724" t="s">
        <v>541</v>
      </c>
      <c r="L724" t="s">
        <v>41</v>
      </c>
      <c r="M724">
        <v>120000</v>
      </c>
      <c r="AG724">
        <v>116178.8</v>
      </c>
      <c r="AH724" s="1">
        <v>41579</v>
      </c>
      <c r="AI724" s="1">
        <v>42674</v>
      </c>
      <c r="AJ724" s="1">
        <v>41638</v>
      </c>
    </row>
    <row r="725" spans="1:36" ht="15">
      <c r="A725" t="str">
        <f>"526885088F"</f>
        <v>526885088F</v>
      </c>
      <c r="B725" t="str">
        <f t="shared" si="33"/>
        <v>02406911202</v>
      </c>
      <c r="C725" t="s">
        <v>13</v>
      </c>
      <c r="D725" t="s">
        <v>37</v>
      </c>
      <c r="E725" t="s">
        <v>537</v>
      </c>
      <c r="F725" t="s">
        <v>86</v>
      </c>
      <c r="G725" t="str">
        <f>"09270550016"</f>
        <v>09270550016</v>
      </c>
      <c r="I725" t="s">
        <v>542</v>
      </c>
      <c r="L725" t="s">
        <v>41</v>
      </c>
      <c r="M725">
        <v>30000</v>
      </c>
      <c r="AG725">
        <v>122292.6</v>
      </c>
      <c r="AH725" s="1">
        <v>41579</v>
      </c>
      <c r="AI725" s="1">
        <v>42674</v>
      </c>
      <c r="AJ725" s="1">
        <v>41638</v>
      </c>
    </row>
    <row r="726" spans="1:36" ht="15">
      <c r="A726" t="str">
        <f>"5268867697"</f>
        <v>5268867697</v>
      </c>
      <c r="B726" t="str">
        <f t="shared" si="33"/>
        <v>02406911202</v>
      </c>
      <c r="C726" t="s">
        <v>13</v>
      </c>
      <c r="D726" t="s">
        <v>37</v>
      </c>
      <c r="E726" t="s">
        <v>537</v>
      </c>
      <c r="F726" t="s">
        <v>86</v>
      </c>
      <c r="G726" t="str">
        <f>"00972790109"</f>
        <v>00972790109</v>
      </c>
      <c r="I726" t="s">
        <v>543</v>
      </c>
      <c r="L726" t="s">
        <v>41</v>
      </c>
      <c r="M726">
        <v>204000</v>
      </c>
      <c r="AG726">
        <v>215988.2</v>
      </c>
      <c r="AH726" s="1">
        <v>41579</v>
      </c>
      <c r="AI726" s="1">
        <v>42674</v>
      </c>
      <c r="AJ726" s="1">
        <v>41638</v>
      </c>
    </row>
    <row r="727" spans="1:36" ht="15">
      <c r="A727" t="str">
        <f>"526888449F"</f>
        <v>526888449F</v>
      </c>
      <c r="B727" t="str">
        <f t="shared" si="33"/>
        <v>02406911202</v>
      </c>
      <c r="C727" t="s">
        <v>13</v>
      </c>
      <c r="D727" t="s">
        <v>37</v>
      </c>
      <c r="E727" t="s">
        <v>537</v>
      </c>
      <c r="F727" t="s">
        <v>86</v>
      </c>
      <c r="G727" t="str">
        <f>"01949700221"</f>
        <v>01949700221</v>
      </c>
      <c r="I727" t="s">
        <v>544</v>
      </c>
      <c r="L727" t="s">
        <v>41</v>
      </c>
      <c r="M727">
        <v>15000</v>
      </c>
      <c r="AG727">
        <v>35711</v>
      </c>
      <c r="AH727" s="1">
        <v>41579</v>
      </c>
      <c r="AI727" s="1">
        <v>42674</v>
      </c>
      <c r="AJ727" s="1">
        <v>41638</v>
      </c>
    </row>
    <row r="728" spans="1:36" ht="15">
      <c r="A728" t="str">
        <f>"5268966849"</f>
        <v>5268966849</v>
      </c>
      <c r="B728" t="str">
        <f t="shared" si="33"/>
        <v>02406911202</v>
      </c>
      <c r="C728" t="s">
        <v>13</v>
      </c>
      <c r="D728" t="s">
        <v>37</v>
      </c>
      <c r="E728" t="s">
        <v>537</v>
      </c>
      <c r="F728" t="s">
        <v>86</v>
      </c>
      <c r="G728" t="str">
        <f>"08976680150"</f>
        <v>08976680150</v>
      </c>
      <c r="I728" t="s">
        <v>545</v>
      </c>
      <c r="L728" t="s">
        <v>41</v>
      </c>
      <c r="M728">
        <v>81000</v>
      </c>
      <c r="AG728">
        <v>80303</v>
      </c>
      <c r="AH728" s="1">
        <v>41579</v>
      </c>
      <c r="AI728" s="1">
        <v>42674</v>
      </c>
      <c r="AJ728" s="1">
        <v>41638</v>
      </c>
    </row>
    <row r="729" spans="1:36" ht="15">
      <c r="A729" t="str">
        <f>"526897715F"</f>
        <v>526897715F</v>
      </c>
      <c r="B729" t="str">
        <f t="shared" si="33"/>
        <v>02406911202</v>
      </c>
      <c r="C729" t="s">
        <v>13</v>
      </c>
      <c r="D729" t="s">
        <v>37</v>
      </c>
      <c r="E729" t="s">
        <v>537</v>
      </c>
      <c r="F729" t="s">
        <v>86</v>
      </c>
      <c r="G729" t="str">
        <f>"09331210154"</f>
        <v>09331210154</v>
      </c>
      <c r="I729" t="s">
        <v>107</v>
      </c>
      <c r="L729" t="s">
        <v>41</v>
      </c>
      <c r="M729">
        <v>15000</v>
      </c>
      <c r="AG729">
        <v>60784.84</v>
      </c>
      <c r="AH729" s="1">
        <v>41579</v>
      </c>
      <c r="AI729" s="1">
        <v>42674</v>
      </c>
      <c r="AJ729" s="1">
        <v>41638</v>
      </c>
    </row>
    <row r="730" spans="1:36" ht="15">
      <c r="A730" t="str">
        <f>"52689868CA"</f>
        <v>52689868CA</v>
      </c>
      <c r="B730" t="str">
        <f t="shared" si="33"/>
        <v>02406911202</v>
      </c>
      <c r="C730" t="s">
        <v>13</v>
      </c>
      <c r="D730" t="s">
        <v>37</v>
      </c>
      <c r="E730" t="s">
        <v>537</v>
      </c>
      <c r="F730" t="s">
        <v>86</v>
      </c>
      <c r="G730" t="str">
        <f>"12572900152"</f>
        <v>12572900152</v>
      </c>
      <c r="I730" t="s">
        <v>546</v>
      </c>
      <c r="L730" t="s">
        <v>41</v>
      </c>
      <c r="M730">
        <v>1191000</v>
      </c>
      <c r="AG730">
        <v>1127905.87</v>
      </c>
      <c r="AH730" s="1">
        <v>41579</v>
      </c>
      <c r="AI730" s="1">
        <v>42674</v>
      </c>
      <c r="AJ730" s="1">
        <v>41638</v>
      </c>
    </row>
    <row r="731" spans="1:36" ht="15">
      <c r="A731" t="str">
        <f>"52690204DA"</f>
        <v>52690204DA</v>
      </c>
      <c r="B731" t="str">
        <f t="shared" si="33"/>
        <v>02406911202</v>
      </c>
      <c r="C731" t="s">
        <v>13</v>
      </c>
      <c r="D731" t="s">
        <v>37</v>
      </c>
      <c r="E731" t="s">
        <v>537</v>
      </c>
      <c r="F731" t="s">
        <v>86</v>
      </c>
      <c r="G731" t="str">
        <f>"10777700153"</f>
        <v>10777700153</v>
      </c>
      <c r="I731" t="s">
        <v>175</v>
      </c>
      <c r="L731" t="s">
        <v>41</v>
      </c>
      <c r="M731">
        <v>774000</v>
      </c>
      <c r="AG731">
        <v>21217.56</v>
      </c>
      <c r="AH731" s="1">
        <v>41579</v>
      </c>
      <c r="AI731" s="1">
        <v>42674</v>
      </c>
      <c r="AJ731" s="1">
        <v>41638</v>
      </c>
    </row>
    <row r="732" spans="1:36" ht="15">
      <c r="A732" t="str">
        <f>"5269085A7C"</f>
        <v>5269085A7C</v>
      </c>
      <c r="B732" t="str">
        <f t="shared" si="33"/>
        <v>02406911202</v>
      </c>
      <c r="C732" t="s">
        <v>13</v>
      </c>
      <c r="D732" t="s">
        <v>37</v>
      </c>
      <c r="E732" t="s">
        <v>537</v>
      </c>
      <c r="F732" t="s">
        <v>86</v>
      </c>
      <c r="G732" t="str">
        <f>"09012850153"</f>
        <v>09012850153</v>
      </c>
      <c r="I732" t="s">
        <v>443</v>
      </c>
      <c r="L732" t="s">
        <v>41</v>
      </c>
      <c r="M732">
        <v>426000</v>
      </c>
      <c r="AG732">
        <v>389308.92</v>
      </c>
      <c r="AH732" s="1">
        <v>41579</v>
      </c>
      <c r="AI732" s="1">
        <v>42674</v>
      </c>
      <c r="AJ732" s="1">
        <v>41638</v>
      </c>
    </row>
    <row r="733" spans="1:36" ht="15">
      <c r="A733" t="str">
        <f>"5314322D3C"</f>
        <v>5314322D3C</v>
      </c>
      <c r="B733" t="str">
        <f t="shared" si="33"/>
        <v>02406911202</v>
      </c>
      <c r="C733" t="s">
        <v>13</v>
      </c>
      <c r="D733" t="s">
        <v>37</v>
      </c>
      <c r="E733" t="s">
        <v>547</v>
      </c>
      <c r="F733" t="s">
        <v>86</v>
      </c>
      <c r="G733" t="str">
        <f>"05653560960"</f>
        <v>05653560960</v>
      </c>
      <c r="I733" t="s">
        <v>475</v>
      </c>
      <c r="L733" t="s">
        <v>41</v>
      </c>
      <c r="M733">
        <v>4290000</v>
      </c>
      <c r="AG733">
        <v>4334940.72</v>
      </c>
      <c r="AH733" s="1">
        <v>41518</v>
      </c>
      <c r="AI733" s="1">
        <v>42978</v>
      </c>
      <c r="AJ733" s="1">
        <v>41638</v>
      </c>
    </row>
    <row r="734" spans="1:36" ht="15">
      <c r="A734" t="str">
        <f>"5393891BA7"</f>
        <v>5393891BA7</v>
      </c>
      <c r="B734" t="str">
        <f t="shared" si="33"/>
        <v>02406911202</v>
      </c>
      <c r="C734" t="s">
        <v>13</v>
      </c>
      <c r="D734" t="s">
        <v>37</v>
      </c>
      <c r="E734" t="s">
        <v>548</v>
      </c>
      <c r="F734" t="s">
        <v>86</v>
      </c>
      <c r="G734" t="str">
        <f>"05849130157"</f>
        <v>05849130157</v>
      </c>
      <c r="I734" t="s">
        <v>549</v>
      </c>
      <c r="L734" t="s">
        <v>41</v>
      </c>
      <c r="M734">
        <v>380294</v>
      </c>
      <c r="AG734">
        <v>111118.31</v>
      </c>
      <c r="AH734" s="1">
        <v>41572</v>
      </c>
      <c r="AI734" s="1">
        <v>41639</v>
      </c>
      <c r="AJ734" s="1">
        <v>41638</v>
      </c>
    </row>
    <row r="735" spans="1:36" ht="15">
      <c r="A735" t="str">
        <f>"5377928693"</f>
        <v>5377928693</v>
      </c>
      <c r="B735" t="str">
        <f t="shared" si="33"/>
        <v>02406911202</v>
      </c>
      <c r="C735" t="s">
        <v>13</v>
      </c>
      <c r="D735" t="s">
        <v>37</v>
      </c>
      <c r="E735" t="s">
        <v>510</v>
      </c>
      <c r="F735" t="s">
        <v>86</v>
      </c>
      <c r="G735" t="str">
        <f>"00735390155"</f>
        <v>00735390155</v>
      </c>
      <c r="I735" t="s">
        <v>76</v>
      </c>
      <c r="L735" t="s">
        <v>41</v>
      </c>
      <c r="M735">
        <v>102419</v>
      </c>
      <c r="AG735">
        <v>88345.91</v>
      </c>
      <c r="AH735" s="1">
        <v>41572</v>
      </c>
      <c r="AI735" s="1">
        <v>41639</v>
      </c>
      <c r="AJ735" s="1">
        <v>41638</v>
      </c>
    </row>
    <row r="736" spans="1:36" ht="15">
      <c r="A736" t="str">
        <f>"5377935C58"</f>
        <v>5377935C58</v>
      </c>
      <c r="B736" t="str">
        <f t="shared" si="33"/>
        <v>02406911202</v>
      </c>
      <c r="C736" t="s">
        <v>13</v>
      </c>
      <c r="D736" t="s">
        <v>37</v>
      </c>
      <c r="E736" t="s">
        <v>510</v>
      </c>
      <c r="F736" t="s">
        <v>86</v>
      </c>
      <c r="G736" t="str">
        <f>"00735390155"</f>
        <v>00735390155</v>
      </c>
      <c r="I736" t="s">
        <v>76</v>
      </c>
      <c r="L736" t="s">
        <v>41</v>
      </c>
      <c r="M736">
        <v>31246</v>
      </c>
      <c r="AG736">
        <v>29290.02</v>
      </c>
      <c r="AH736" s="1">
        <v>41572</v>
      </c>
      <c r="AI736" s="1">
        <v>41639</v>
      </c>
      <c r="AJ736" s="1">
        <v>41638</v>
      </c>
    </row>
    <row r="737" spans="1:36" ht="15">
      <c r="A737" t="str">
        <f>"537794549B"</f>
        <v>537794549B</v>
      </c>
      <c r="B737" t="str">
        <f t="shared" si="33"/>
        <v>02406911202</v>
      </c>
      <c r="C737" t="s">
        <v>13</v>
      </c>
      <c r="D737" t="s">
        <v>37</v>
      </c>
      <c r="E737" t="s">
        <v>510</v>
      </c>
      <c r="F737" t="s">
        <v>86</v>
      </c>
      <c r="G737" t="str">
        <f>"00735390155"</f>
        <v>00735390155</v>
      </c>
      <c r="I737" t="s">
        <v>76</v>
      </c>
      <c r="L737" t="s">
        <v>41</v>
      </c>
      <c r="M737">
        <v>86371</v>
      </c>
      <c r="AG737">
        <v>68547.38</v>
      </c>
      <c r="AH737" s="1">
        <v>41572</v>
      </c>
      <c r="AI737" s="1">
        <v>41639</v>
      </c>
      <c r="AJ737" s="1">
        <v>41638</v>
      </c>
    </row>
    <row r="738" spans="1:36" ht="15">
      <c r="A738" t="str">
        <f>"53779508BA"</f>
        <v>53779508BA</v>
      </c>
      <c r="B738" t="str">
        <f t="shared" si="33"/>
        <v>02406911202</v>
      </c>
      <c r="C738" t="s">
        <v>13</v>
      </c>
      <c r="D738" t="s">
        <v>37</v>
      </c>
      <c r="E738" t="s">
        <v>510</v>
      </c>
      <c r="F738" t="s">
        <v>86</v>
      </c>
      <c r="G738" t="str">
        <f>"00471770016"</f>
        <v>00471770016</v>
      </c>
      <c r="I738" t="s">
        <v>550</v>
      </c>
      <c r="L738" t="s">
        <v>41</v>
      </c>
      <c r="M738">
        <v>223391</v>
      </c>
      <c r="AG738">
        <v>243901.66</v>
      </c>
      <c r="AH738" s="1">
        <v>41572</v>
      </c>
      <c r="AI738" s="1">
        <v>41639</v>
      </c>
      <c r="AJ738" s="1">
        <v>41638</v>
      </c>
    </row>
    <row r="739" spans="1:36" ht="15">
      <c r="A739" t="str">
        <f>"53779844C4"</f>
        <v>53779844C4</v>
      </c>
      <c r="B739" t="str">
        <f t="shared" si="33"/>
        <v>02406911202</v>
      </c>
      <c r="C739" t="s">
        <v>13</v>
      </c>
      <c r="D739" t="s">
        <v>37</v>
      </c>
      <c r="E739" t="s">
        <v>510</v>
      </c>
      <c r="F739" t="s">
        <v>86</v>
      </c>
      <c r="G739" t="str">
        <f>"00714810157"</f>
        <v>00714810157</v>
      </c>
      <c r="I739" t="s">
        <v>551</v>
      </c>
      <c r="L739" t="s">
        <v>41</v>
      </c>
      <c r="M739">
        <v>37</v>
      </c>
      <c r="AG739">
        <v>0</v>
      </c>
      <c r="AH739" s="1">
        <v>41572</v>
      </c>
      <c r="AI739" s="1">
        <v>41639</v>
      </c>
      <c r="AJ739" s="1">
        <v>41638</v>
      </c>
    </row>
    <row r="740" spans="1:37" ht="15">
      <c r="A740" t="str">
        <f aca="true" t="shared" si="34" ref="A740:A764">"Z930C1EA84"</f>
        <v>Z930C1EA84</v>
      </c>
      <c r="B740" t="str">
        <f t="shared" si="33"/>
        <v>02406911202</v>
      </c>
      <c r="C740" t="s">
        <v>13</v>
      </c>
      <c r="D740" t="s">
        <v>37</v>
      </c>
      <c r="E740" t="s">
        <v>552</v>
      </c>
      <c r="F740" t="s">
        <v>89</v>
      </c>
      <c r="G740" t="str">
        <f>"07297190154"</f>
        <v>07297190154</v>
      </c>
      <c r="I740" t="s">
        <v>447</v>
      </c>
      <c r="L740" t="s">
        <v>45</v>
      </c>
      <c r="AJ740" s="1">
        <v>41638</v>
      </c>
      <c r="AK740" t="s">
        <v>553</v>
      </c>
    </row>
    <row r="741" spans="1:37" ht="15">
      <c r="A741" t="str">
        <f t="shared" si="34"/>
        <v>Z930C1EA84</v>
      </c>
      <c r="B741" t="str">
        <f t="shared" si="33"/>
        <v>02406911202</v>
      </c>
      <c r="C741" t="s">
        <v>13</v>
      </c>
      <c r="D741" t="s">
        <v>37</v>
      </c>
      <c r="E741" t="s">
        <v>552</v>
      </c>
      <c r="F741" t="s">
        <v>89</v>
      </c>
      <c r="G741" t="str">
        <f>"00915180491"</f>
        <v>00915180491</v>
      </c>
      <c r="I741" t="s">
        <v>554</v>
      </c>
      <c r="L741" t="s">
        <v>45</v>
      </c>
      <c r="AJ741" s="1">
        <v>41638</v>
      </c>
      <c r="AK741" t="s">
        <v>553</v>
      </c>
    </row>
    <row r="742" spans="1:37" ht="15">
      <c r="A742" t="str">
        <f t="shared" si="34"/>
        <v>Z930C1EA84</v>
      </c>
      <c r="B742" t="str">
        <f t="shared" si="33"/>
        <v>02406911202</v>
      </c>
      <c r="C742" t="s">
        <v>13</v>
      </c>
      <c r="D742" t="s">
        <v>37</v>
      </c>
      <c r="E742" t="s">
        <v>552</v>
      </c>
      <c r="F742" t="s">
        <v>89</v>
      </c>
      <c r="G742" t="str">
        <f>"06111530637"</f>
        <v>06111530637</v>
      </c>
      <c r="I742" t="s">
        <v>530</v>
      </c>
      <c r="L742" t="s">
        <v>41</v>
      </c>
      <c r="M742">
        <v>0</v>
      </c>
      <c r="AG742">
        <v>0</v>
      </c>
      <c r="AH742" s="1">
        <v>41579</v>
      </c>
      <c r="AI742" s="1">
        <v>42308</v>
      </c>
      <c r="AJ742" s="1">
        <v>41638</v>
      </c>
      <c r="AK742" t="s">
        <v>553</v>
      </c>
    </row>
    <row r="743" spans="1:37" ht="15">
      <c r="A743" t="str">
        <f t="shared" si="34"/>
        <v>Z930C1EA84</v>
      </c>
      <c r="B743" t="str">
        <f t="shared" si="33"/>
        <v>02406911202</v>
      </c>
      <c r="C743" t="s">
        <v>13</v>
      </c>
      <c r="D743" t="s">
        <v>37</v>
      </c>
      <c r="E743" t="s">
        <v>552</v>
      </c>
      <c r="F743" t="s">
        <v>89</v>
      </c>
      <c r="G743" t="str">
        <f>"05067060011"</f>
        <v>05067060011</v>
      </c>
      <c r="I743" t="s">
        <v>555</v>
      </c>
      <c r="L743" t="s">
        <v>45</v>
      </c>
      <c r="AJ743" s="1">
        <v>41638</v>
      </c>
      <c r="AK743" t="s">
        <v>553</v>
      </c>
    </row>
    <row r="744" spans="1:37" ht="15">
      <c r="A744" t="str">
        <f t="shared" si="34"/>
        <v>Z930C1EA84</v>
      </c>
      <c r="B744" t="str">
        <f t="shared" si="33"/>
        <v>02406911202</v>
      </c>
      <c r="C744" t="s">
        <v>13</v>
      </c>
      <c r="D744" t="s">
        <v>37</v>
      </c>
      <c r="E744" t="s">
        <v>552</v>
      </c>
      <c r="F744" t="s">
        <v>89</v>
      </c>
      <c r="G744" t="str">
        <f>"01442250286"</f>
        <v>01442250286</v>
      </c>
      <c r="I744" t="s">
        <v>556</v>
      </c>
      <c r="L744" t="s">
        <v>45</v>
      </c>
      <c r="AJ744" s="1">
        <v>41638</v>
      </c>
      <c r="AK744" t="s">
        <v>553</v>
      </c>
    </row>
    <row r="745" spans="1:37" ht="15">
      <c r="A745" t="str">
        <f t="shared" si="34"/>
        <v>Z930C1EA84</v>
      </c>
      <c r="B745" t="str">
        <f t="shared" si="33"/>
        <v>02406911202</v>
      </c>
      <c r="C745" t="s">
        <v>13</v>
      </c>
      <c r="D745" t="s">
        <v>37</v>
      </c>
      <c r="E745" t="s">
        <v>552</v>
      </c>
      <c r="F745" t="s">
        <v>89</v>
      </c>
      <c r="G745" t="str">
        <f>"01613700275"</f>
        <v>01613700275</v>
      </c>
      <c r="I745" t="s">
        <v>557</v>
      </c>
      <c r="L745" t="s">
        <v>45</v>
      </c>
      <c r="AJ745" s="1">
        <v>41638</v>
      </c>
      <c r="AK745" t="s">
        <v>553</v>
      </c>
    </row>
    <row r="746" spans="1:37" ht="15">
      <c r="A746" t="str">
        <f t="shared" si="34"/>
        <v>Z930C1EA84</v>
      </c>
      <c r="B746" t="str">
        <f t="shared" si="33"/>
        <v>02406911202</v>
      </c>
      <c r="C746" t="s">
        <v>13</v>
      </c>
      <c r="D746" t="s">
        <v>37</v>
      </c>
      <c r="E746" t="s">
        <v>552</v>
      </c>
      <c r="F746" t="s">
        <v>89</v>
      </c>
      <c r="G746" t="str">
        <f>"01897730659"</f>
        <v>01897730659</v>
      </c>
      <c r="I746" t="s">
        <v>558</v>
      </c>
      <c r="L746" t="s">
        <v>45</v>
      </c>
      <c r="AJ746" s="1">
        <v>41638</v>
      </c>
      <c r="AK746" t="s">
        <v>553</v>
      </c>
    </row>
    <row r="747" spans="1:37" ht="15">
      <c r="A747" t="str">
        <f t="shared" si="34"/>
        <v>Z930C1EA84</v>
      </c>
      <c r="B747" t="str">
        <f t="shared" si="33"/>
        <v>02406911202</v>
      </c>
      <c r="C747" t="s">
        <v>13</v>
      </c>
      <c r="D747" t="s">
        <v>37</v>
      </c>
      <c r="E747" t="s">
        <v>552</v>
      </c>
      <c r="F747" t="s">
        <v>89</v>
      </c>
      <c r="G747" t="str">
        <f>"02707600249"</f>
        <v>02707600249</v>
      </c>
      <c r="I747" t="s">
        <v>559</v>
      </c>
      <c r="L747" t="s">
        <v>45</v>
      </c>
      <c r="AJ747" s="1">
        <v>41638</v>
      </c>
      <c r="AK747" t="s">
        <v>553</v>
      </c>
    </row>
    <row r="748" spans="1:37" ht="15">
      <c r="A748" t="str">
        <f t="shared" si="34"/>
        <v>Z930C1EA84</v>
      </c>
      <c r="B748" t="str">
        <f t="shared" si="33"/>
        <v>02406911202</v>
      </c>
      <c r="C748" t="s">
        <v>13</v>
      </c>
      <c r="D748" t="s">
        <v>37</v>
      </c>
      <c r="E748" t="s">
        <v>552</v>
      </c>
      <c r="F748" t="s">
        <v>89</v>
      </c>
      <c r="G748" t="str">
        <f>"01063890394"</f>
        <v>01063890394</v>
      </c>
      <c r="I748" t="s">
        <v>560</v>
      </c>
      <c r="L748" t="s">
        <v>45</v>
      </c>
      <c r="AJ748" s="1">
        <v>41638</v>
      </c>
      <c r="AK748" t="s">
        <v>553</v>
      </c>
    </row>
    <row r="749" spans="1:37" ht="15">
      <c r="A749" t="str">
        <f t="shared" si="34"/>
        <v>Z930C1EA84</v>
      </c>
      <c r="B749" t="str">
        <f t="shared" si="33"/>
        <v>02406911202</v>
      </c>
      <c r="C749" t="s">
        <v>13</v>
      </c>
      <c r="D749" t="s">
        <v>37</v>
      </c>
      <c r="E749" t="s">
        <v>552</v>
      </c>
      <c r="F749" t="s">
        <v>89</v>
      </c>
      <c r="G749" t="str">
        <f>"01557980131"</f>
        <v>01557980131</v>
      </c>
      <c r="I749" t="s">
        <v>561</v>
      </c>
      <c r="L749" t="s">
        <v>45</v>
      </c>
      <c r="AJ749" s="1">
        <v>41638</v>
      </c>
      <c r="AK749" t="s">
        <v>553</v>
      </c>
    </row>
    <row r="750" spans="1:37" ht="15">
      <c r="A750" t="str">
        <f t="shared" si="34"/>
        <v>Z930C1EA84</v>
      </c>
      <c r="B750" t="str">
        <f t="shared" si="33"/>
        <v>02406911202</v>
      </c>
      <c r="C750" t="s">
        <v>13</v>
      </c>
      <c r="D750" t="s">
        <v>37</v>
      </c>
      <c r="E750" t="s">
        <v>552</v>
      </c>
      <c r="F750" t="s">
        <v>89</v>
      </c>
      <c r="G750" t="str">
        <f>"03578710729"</f>
        <v>03578710729</v>
      </c>
      <c r="I750" t="s">
        <v>338</v>
      </c>
      <c r="L750" t="s">
        <v>45</v>
      </c>
      <c r="AJ750" s="1">
        <v>41638</v>
      </c>
      <c r="AK750" t="s">
        <v>553</v>
      </c>
    </row>
    <row r="751" spans="1:37" ht="15">
      <c r="A751" t="str">
        <f t="shared" si="34"/>
        <v>Z930C1EA84</v>
      </c>
      <c r="B751" t="str">
        <f t="shared" si="33"/>
        <v>02406911202</v>
      </c>
      <c r="C751" t="s">
        <v>13</v>
      </c>
      <c r="D751" t="s">
        <v>37</v>
      </c>
      <c r="E751" t="s">
        <v>552</v>
      </c>
      <c r="F751" t="s">
        <v>89</v>
      </c>
      <c r="G751" t="str">
        <f>"00715550422"</f>
        <v>00715550422</v>
      </c>
      <c r="I751" t="s">
        <v>562</v>
      </c>
      <c r="L751" t="s">
        <v>45</v>
      </c>
      <c r="AJ751" s="1">
        <v>41638</v>
      </c>
      <c r="AK751" t="s">
        <v>553</v>
      </c>
    </row>
    <row r="752" spans="1:37" ht="15">
      <c r="A752" t="str">
        <f t="shared" si="34"/>
        <v>Z930C1EA84</v>
      </c>
      <c r="B752" t="str">
        <f t="shared" si="33"/>
        <v>02406911202</v>
      </c>
      <c r="C752" t="s">
        <v>13</v>
      </c>
      <c r="D752" t="s">
        <v>37</v>
      </c>
      <c r="E752" t="s">
        <v>552</v>
      </c>
      <c r="F752" t="s">
        <v>89</v>
      </c>
      <c r="G752" t="str">
        <f>"04875890156"</f>
        <v>04875890156</v>
      </c>
      <c r="I752" t="s">
        <v>113</v>
      </c>
      <c r="L752" t="s">
        <v>45</v>
      </c>
      <c r="AJ752" s="1">
        <v>41638</v>
      </c>
      <c r="AK752" t="s">
        <v>553</v>
      </c>
    </row>
    <row r="753" spans="1:37" ht="15">
      <c r="A753" t="str">
        <f t="shared" si="34"/>
        <v>Z930C1EA84</v>
      </c>
      <c r="B753" t="str">
        <f t="shared" si="33"/>
        <v>02406911202</v>
      </c>
      <c r="C753" t="s">
        <v>13</v>
      </c>
      <c r="D753" t="s">
        <v>37</v>
      </c>
      <c r="E753" t="s">
        <v>552</v>
      </c>
      <c r="F753" t="s">
        <v>89</v>
      </c>
      <c r="G753" t="str">
        <f>"10852890150"</f>
        <v>10852890150</v>
      </c>
      <c r="I753" t="s">
        <v>563</v>
      </c>
      <c r="L753" t="s">
        <v>45</v>
      </c>
      <c r="AJ753" s="1">
        <v>41638</v>
      </c>
      <c r="AK753" t="s">
        <v>553</v>
      </c>
    </row>
    <row r="754" spans="1:37" ht="15">
      <c r="A754" t="str">
        <f t="shared" si="34"/>
        <v>Z930C1EA84</v>
      </c>
      <c r="B754" t="str">
        <f t="shared" si="33"/>
        <v>02406911202</v>
      </c>
      <c r="C754" t="s">
        <v>13</v>
      </c>
      <c r="D754" t="s">
        <v>37</v>
      </c>
      <c r="E754" t="s">
        <v>552</v>
      </c>
      <c r="F754" t="s">
        <v>89</v>
      </c>
      <c r="G754" t="str">
        <f>"00881470249"</f>
        <v>00881470249</v>
      </c>
      <c r="I754" t="s">
        <v>564</v>
      </c>
      <c r="L754" t="s">
        <v>45</v>
      </c>
      <c r="AJ754" s="1">
        <v>41638</v>
      </c>
      <c r="AK754" t="s">
        <v>553</v>
      </c>
    </row>
    <row r="755" spans="1:37" ht="15">
      <c r="A755" t="str">
        <f t="shared" si="34"/>
        <v>Z930C1EA84</v>
      </c>
      <c r="B755" t="str">
        <f t="shared" si="33"/>
        <v>02406911202</v>
      </c>
      <c r="C755" t="s">
        <v>13</v>
      </c>
      <c r="D755" t="s">
        <v>37</v>
      </c>
      <c r="E755" t="s">
        <v>552</v>
      </c>
      <c r="F755" t="s">
        <v>89</v>
      </c>
      <c r="G755" t="str">
        <f>"10012410014"</f>
        <v>10012410014</v>
      </c>
      <c r="I755" t="s">
        <v>565</v>
      </c>
      <c r="L755" t="s">
        <v>45</v>
      </c>
      <c r="AJ755" s="1">
        <v>41638</v>
      </c>
      <c r="AK755" t="s">
        <v>553</v>
      </c>
    </row>
    <row r="756" spans="1:37" ht="15">
      <c r="A756" t="str">
        <f t="shared" si="34"/>
        <v>Z930C1EA84</v>
      </c>
      <c r="B756" t="str">
        <f t="shared" si="33"/>
        <v>02406911202</v>
      </c>
      <c r="C756" t="s">
        <v>13</v>
      </c>
      <c r="D756" t="s">
        <v>37</v>
      </c>
      <c r="E756" t="s">
        <v>552</v>
      </c>
      <c r="F756" t="s">
        <v>89</v>
      </c>
      <c r="G756" t="str">
        <f>"01201040423"</f>
        <v>01201040423</v>
      </c>
      <c r="I756" t="s">
        <v>566</v>
      </c>
      <c r="L756" t="s">
        <v>45</v>
      </c>
      <c r="AJ756" s="1">
        <v>41638</v>
      </c>
      <c r="AK756" t="s">
        <v>553</v>
      </c>
    </row>
    <row r="757" spans="1:37" ht="15">
      <c r="A757" t="str">
        <f t="shared" si="34"/>
        <v>Z930C1EA84</v>
      </c>
      <c r="B757" t="str">
        <f t="shared" si="33"/>
        <v>02406911202</v>
      </c>
      <c r="C757" t="s">
        <v>13</v>
      </c>
      <c r="D757" t="s">
        <v>37</v>
      </c>
      <c r="E757" t="s">
        <v>552</v>
      </c>
      <c r="F757" t="s">
        <v>89</v>
      </c>
      <c r="G757" t="str">
        <f>"00615700374"</f>
        <v>00615700374</v>
      </c>
      <c r="I757" t="s">
        <v>172</v>
      </c>
      <c r="L757" t="s">
        <v>45</v>
      </c>
      <c r="AJ757" s="1">
        <v>41638</v>
      </c>
      <c r="AK757" t="s">
        <v>553</v>
      </c>
    </row>
    <row r="758" spans="1:37" ht="15">
      <c r="A758" t="str">
        <f t="shared" si="34"/>
        <v>Z930C1EA84</v>
      </c>
      <c r="B758" t="str">
        <f t="shared" si="33"/>
        <v>02406911202</v>
      </c>
      <c r="C758" t="s">
        <v>13</v>
      </c>
      <c r="D758" t="s">
        <v>37</v>
      </c>
      <c r="E758" t="s">
        <v>552</v>
      </c>
      <c r="F758" t="s">
        <v>89</v>
      </c>
      <c r="G758" t="str">
        <f>"01794050151"</f>
        <v>01794050151</v>
      </c>
      <c r="I758" t="s">
        <v>567</v>
      </c>
      <c r="L758" t="s">
        <v>45</v>
      </c>
      <c r="AJ758" s="1">
        <v>41638</v>
      </c>
      <c r="AK758" t="s">
        <v>553</v>
      </c>
    </row>
    <row r="759" spans="1:37" ht="15">
      <c r="A759" t="str">
        <f t="shared" si="34"/>
        <v>Z930C1EA84</v>
      </c>
      <c r="B759" t="str">
        <f t="shared" si="33"/>
        <v>02406911202</v>
      </c>
      <c r="C759" t="s">
        <v>13</v>
      </c>
      <c r="D759" t="s">
        <v>37</v>
      </c>
      <c r="E759" t="s">
        <v>552</v>
      </c>
      <c r="F759" t="s">
        <v>89</v>
      </c>
      <c r="G759" t="str">
        <f>"00759430267"</f>
        <v>00759430267</v>
      </c>
      <c r="I759" t="s">
        <v>568</v>
      </c>
      <c r="L759" t="s">
        <v>45</v>
      </c>
      <c r="AJ759" s="1">
        <v>41638</v>
      </c>
      <c r="AK759" t="s">
        <v>553</v>
      </c>
    </row>
    <row r="760" spans="1:37" ht="15">
      <c r="A760" t="str">
        <f t="shared" si="34"/>
        <v>Z930C1EA84</v>
      </c>
      <c r="B760" t="str">
        <f t="shared" si="33"/>
        <v>02406911202</v>
      </c>
      <c r="C760" t="s">
        <v>13</v>
      </c>
      <c r="D760" t="s">
        <v>37</v>
      </c>
      <c r="E760" t="s">
        <v>552</v>
      </c>
      <c r="F760" t="s">
        <v>89</v>
      </c>
      <c r="G760" t="str">
        <f>"02367210735"</f>
        <v>02367210735</v>
      </c>
      <c r="I760" t="s">
        <v>569</v>
      </c>
      <c r="L760" t="s">
        <v>45</v>
      </c>
      <c r="AJ760" s="1">
        <v>41638</v>
      </c>
      <c r="AK760" t="s">
        <v>553</v>
      </c>
    </row>
    <row r="761" spans="1:37" ht="15">
      <c r="A761" t="str">
        <f t="shared" si="34"/>
        <v>Z930C1EA84</v>
      </c>
      <c r="B761" t="str">
        <f t="shared" si="33"/>
        <v>02406911202</v>
      </c>
      <c r="C761" t="s">
        <v>13</v>
      </c>
      <c r="D761" t="s">
        <v>37</v>
      </c>
      <c r="E761" t="s">
        <v>552</v>
      </c>
      <c r="F761" t="s">
        <v>89</v>
      </c>
      <c r="G761" t="str">
        <f>"11575580151"</f>
        <v>11575580151</v>
      </c>
      <c r="I761" t="s">
        <v>570</v>
      </c>
      <c r="L761" t="s">
        <v>45</v>
      </c>
      <c r="AJ761" s="1">
        <v>41638</v>
      </c>
      <c r="AK761" t="s">
        <v>553</v>
      </c>
    </row>
    <row r="762" spans="1:37" ht="15">
      <c r="A762" t="str">
        <f t="shared" si="34"/>
        <v>Z930C1EA84</v>
      </c>
      <c r="B762" t="str">
        <f t="shared" si="33"/>
        <v>02406911202</v>
      </c>
      <c r="C762" t="s">
        <v>13</v>
      </c>
      <c r="D762" t="s">
        <v>37</v>
      </c>
      <c r="E762" t="s">
        <v>552</v>
      </c>
      <c r="F762" t="s">
        <v>89</v>
      </c>
      <c r="G762" t="str">
        <f>"07424950157"</f>
        <v>07424950157</v>
      </c>
      <c r="I762" t="s">
        <v>571</v>
      </c>
      <c r="L762" t="s">
        <v>45</v>
      </c>
      <c r="AJ762" s="1">
        <v>41638</v>
      </c>
      <c r="AK762" t="s">
        <v>553</v>
      </c>
    </row>
    <row r="763" spans="1:37" ht="15">
      <c r="A763" t="str">
        <f t="shared" si="34"/>
        <v>Z930C1EA84</v>
      </c>
      <c r="B763" t="str">
        <f t="shared" si="33"/>
        <v>02406911202</v>
      </c>
      <c r="C763" t="s">
        <v>13</v>
      </c>
      <c r="D763" t="s">
        <v>37</v>
      </c>
      <c r="E763" t="s">
        <v>552</v>
      </c>
      <c r="F763" t="s">
        <v>89</v>
      </c>
      <c r="G763" t="str">
        <f>"03597020373"</f>
        <v>03597020373</v>
      </c>
      <c r="I763" t="s">
        <v>100</v>
      </c>
      <c r="L763" t="s">
        <v>45</v>
      </c>
      <c r="AJ763" s="1">
        <v>41638</v>
      </c>
      <c r="AK763" t="s">
        <v>553</v>
      </c>
    </row>
    <row r="764" spans="1:37" ht="15">
      <c r="A764" t="str">
        <f t="shared" si="34"/>
        <v>Z930C1EA84</v>
      </c>
      <c r="B764" t="str">
        <f t="shared" si="33"/>
        <v>02406911202</v>
      </c>
      <c r="C764" t="s">
        <v>13</v>
      </c>
      <c r="D764" t="s">
        <v>37</v>
      </c>
      <c r="E764" t="s">
        <v>552</v>
      </c>
      <c r="F764" t="s">
        <v>89</v>
      </c>
      <c r="G764" t="str">
        <f>"06324460150"</f>
        <v>06324460150</v>
      </c>
      <c r="I764" t="s">
        <v>166</v>
      </c>
      <c r="L764" t="s">
        <v>45</v>
      </c>
      <c r="AJ764" s="1">
        <v>41638</v>
      </c>
      <c r="AK764" t="s">
        <v>553</v>
      </c>
    </row>
    <row r="765" spans="1:37" ht="15">
      <c r="A765" t="str">
        <f aca="true" t="shared" si="35" ref="A765:A789">"Z110C1EBC1"</f>
        <v>Z110C1EBC1</v>
      </c>
      <c r="B765" t="str">
        <f t="shared" si="33"/>
        <v>02406911202</v>
      </c>
      <c r="C765" t="s">
        <v>13</v>
      </c>
      <c r="D765" t="s">
        <v>37</v>
      </c>
      <c r="E765" t="s">
        <v>552</v>
      </c>
      <c r="F765" t="s">
        <v>89</v>
      </c>
      <c r="G765" t="str">
        <f>"07297190154"</f>
        <v>07297190154</v>
      </c>
      <c r="I765" t="s">
        <v>447</v>
      </c>
      <c r="L765" t="s">
        <v>45</v>
      </c>
      <c r="AJ765" s="1">
        <v>41638</v>
      </c>
      <c r="AK765" t="s">
        <v>572</v>
      </c>
    </row>
    <row r="766" spans="1:37" ht="15">
      <c r="A766" t="str">
        <f t="shared" si="35"/>
        <v>Z110C1EBC1</v>
      </c>
      <c r="B766" t="str">
        <f t="shared" si="33"/>
        <v>02406911202</v>
      </c>
      <c r="C766" t="s">
        <v>13</v>
      </c>
      <c r="D766" t="s">
        <v>37</v>
      </c>
      <c r="E766" t="s">
        <v>552</v>
      </c>
      <c r="F766" t="s">
        <v>89</v>
      </c>
      <c r="G766" t="str">
        <f>"00915180491"</f>
        <v>00915180491</v>
      </c>
      <c r="I766" t="s">
        <v>554</v>
      </c>
      <c r="L766" t="s">
        <v>45</v>
      </c>
      <c r="AJ766" s="1">
        <v>41638</v>
      </c>
      <c r="AK766" t="s">
        <v>572</v>
      </c>
    </row>
    <row r="767" spans="1:37" ht="15">
      <c r="A767" t="str">
        <f t="shared" si="35"/>
        <v>Z110C1EBC1</v>
      </c>
      <c r="B767" t="str">
        <f t="shared" si="33"/>
        <v>02406911202</v>
      </c>
      <c r="C767" t="s">
        <v>13</v>
      </c>
      <c r="D767" t="s">
        <v>37</v>
      </c>
      <c r="E767" t="s">
        <v>552</v>
      </c>
      <c r="F767" t="s">
        <v>89</v>
      </c>
      <c r="G767" t="str">
        <f>"06111530637"</f>
        <v>06111530637</v>
      </c>
      <c r="I767" t="s">
        <v>530</v>
      </c>
      <c r="L767" t="s">
        <v>41</v>
      </c>
      <c r="M767">
        <v>1041</v>
      </c>
      <c r="AG767">
        <v>1304.5</v>
      </c>
      <c r="AH767" s="1">
        <v>41579</v>
      </c>
      <c r="AI767" s="1">
        <v>42308</v>
      </c>
      <c r="AJ767" s="1">
        <v>41638</v>
      </c>
      <c r="AK767" t="s">
        <v>572</v>
      </c>
    </row>
    <row r="768" spans="1:37" ht="15">
      <c r="A768" t="str">
        <f t="shared" si="35"/>
        <v>Z110C1EBC1</v>
      </c>
      <c r="B768" t="str">
        <f t="shared" si="33"/>
        <v>02406911202</v>
      </c>
      <c r="C768" t="s">
        <v>13</v>
      </c>
      <c r="D768" t="s">
        <v>37</v>
      </c>
      <c r="E768" t="s">
        <v>552</v>
      </c>
      <c r="F768" t="s">
        <v>89</v>
      </c>
      <c r="G768" t="str">
        <f>"05067060011"</f>
        <v>05067060011</v>
      </c>
      <c r="I768" t="s">
        <v>555</v>
      </c>
      <c r="L768" t="s">
        <v>45</v>
      </c>
      <c r="AJ768" s="1">
        <v>41638</v>
      </c>
      <c r="AK768" t="s">
        <v>572</v>
      </c>
    </row>
    <row r="769" spans="1:37" ht="15">
      <c r="A769" t="str">
        <f t="shared" si="35"/>
        <v>Z110C1EBC1</v>
      </c>
      <c r="B769" t="str">
        <f t="shared" si="33"/>
        <v>02406911202</v>
      </c>
      <c r="C769" t="s">
        <v>13</v>
      </c>
      <c r="D769" t="s">
        <v>37</v>
      </c>
      <c r="E769" t="s">
        <v>552</v>
      </c>
      <c r="F769" t="s">
        <v>89</v>
      </c>
      <c r="G769" t="str">
        <f>"01442250286"</f>
        <v>01442250286</v>
      </c>
      <c r="I769" t="s">
        <v>556</v>
      </c>
      <c r="L769" t="s">
        <v>45</v>
      </c>
      <c r="AJ769" s="1">
        <v>41638</v>
      </c>
      <c r="AK769" t="s">
        <v>572</v>
      </c>
    </row>
    <row r="770" spans="1:37" ht="15">
      <c r="A770" t="str">
        <f t="shared" si="35"/>
        <v>Z110C1EBC1</v>
      </c>
      <c r="B770" t="str">
        <f aca="true" t="shared" si="36" ref="B770:B833">"02406911202"</f>
        <v>02406911202</v>
      </c>
      <c r="C770" t="s">
        <v>13</v>
      </c>
      <c r="D770" t="s">
        <v>37</v>
      </c>
      <c r="E770" t="s">
        <v>552</v>
      </c>
      <c r="F770" t="s">
        <v>89</v>
      </c>
      <c r="G770" t="str">
        <f>"01613700275"</f>
        <v>01613700275</v>
      </c>
      <c r="I770" t="s">
        <v>557</v>
      </c>
      <c r="L770" t="s">
        <v>45</v>
      </c>
      <c r="AJ770" s="1">
        <v>41638</v>
      </c>
      <c r="AK770" t="s">
        <v>572</v>
      </c>
    </row>
    <row r="771" spans="1:37" ht="15">
      <c r="A771" t="str">
        <f t="shared" si="35"/>
        <v>Z110C1EBC1</v>
      </c>
      <c r="B771" t="str">
        <f t="shared" si="36"/>
        <v>02406911202</v>
      </c>
      <c r="C771" t="s">
        <v>13</v>
      </c>
      <c r="D771" t="s">
        <v>37</v>
      </c>
      <c r="E771" t="s">
        <v>552</v>
      </c>
      <c r="F771" t="s">
        <v>89</v>
      </c>
      <c r="G771" t="str">
        <f>"01897730659"</f>
        <v>01897730659</v>
      </c>
      <c r="I771" t="s">
        <v>558</v>
      </c>
      <c r="L771" t="s">
        <v>45</v>
      </c>
      <c r="AJ771" s="1">
        <v>41638</v>
      </c>
      <c r="AK771" t="s">
        <v>572</v>
      </c>
    </row>
    <row r="772" spans="1:37" ht="15">
      <c r="A772" t="str">
        <f t="shared" si="35"/>
        <v>Z110C1EBC1</v>
      </c>
      <c r="B772" t="str">
        <f t="shared" si="36"/>
        <v>02406911202</v>
      </c>
      <c r="C772" t="s">
        <v>13</v>
      </c>
      <c r="D772" t="s">
        <v>37</v>
      </c>
      <c r="E772" t="s">
        <v>552</v>
      </c>
      <c r="F772" t="s">
        <v>89</v>
      </c>
      <c r="G772" t="str">
        <f>"02707600249"</f>
        <v>02707600249</v>
      </c>
      <c r="I772" t="s">
        <v>559</v>
      </c>
      <c r="L772" t="s">
        <v>45</v>
      </c>
      <c r="AJ772" s="1">
        <v>41638</v>
      </c>
      <c r="AK772" t="s">
        <v>572</v>
      </c>
    </row>
    <row r="773" spans="1:37" ht="15">
      <c r="A773" t="str">
        <f t="shared" si="35"/>
        <v>Z110C1EBC1</v>
      </c>
      <c r="B773" t="str">
        <f t="shared" si="36"/>
        <v>02406911202</v>
      </c>
      <c r="C773" t="s">
        <v>13</v>
      </c>
      <c r="D773" t="s">
        <v>37</v>
      </c>
      <c r="E773" t="s">
        <v>552</v>
      </c>
      <c r="F773" t="s">
        <v>89</v>
      </c>
      <c r="G773" t="str">
        <f>"01063890394"</f>
        <v>01063890394</v>
      </c>
      <c r="I773" t="s">
        <v>560</v>
      </c>
      <c r="L773" t="s">
        <v>45</v>
      </c>
      <c r="AJ773" s="1">
        <v>41638</v>
      </c>
      <c r="AK773" t="s">
        <v>572</v>
      </c>
    </row>
    <row r="774" spans="1:37" ht="15">
      <c r="A774" t="str">
        <f t="shared" si="35"/>
        <v>Z110C1EBC1</v>
      </c>
      <c r="B774" t="str">
        <f t="shared" si="36"/>
        <v>02406911202</v>
      </c>
      <c r="C774" t="s">
        <v>13</v>
      </c>
      <c r="D774" t="s">
        <v>37</v>
      </c>
      <c r="E774" t="s">
        <v>552</v>
      </c>
      <c r="F774" t="s">
        <v>89</v>
      </c>
      <c r="G774" t="str">
        <f>"01557980131"</f>
        <v>01557980131</v>
      </c>
      <c r="I774" t="s">
        <v>561</v>
      </c>
      <c r="L774" t="s">
        <v>45</v>
      </c>
      <c r="AJ774" s="1">
        <v>41638</v>
      </c>
      <c r="AK774" t="s">
        <v>572</v>
      </c>
    </row>
    <row r="775" spans="1:37" ht="15">
      <c r="A775" t="str">
        <f t="shared" si="35"/>
        <v>Z110C1EBC1</v>
      </c>
      <c r="B775" t="str">
        <f t="shared" si="36"/>
        <v>02406911202</v>
      </c>
      <c r="C775" t="s">
        <v>13</v>
      </c>
      <c r="D775" t="s">
        <v>37</v>
      </c>
      <c r="E775" t="s">
        <v>552</v>
      </c>
      <c r="F775" t="s">
        <v>89</v>
      </c>
      <c r="G775" t="str">
        <f>"03578710729"</f>
        <v>03578710729</v>
      </c>
      <c r="I775" t="s">
        <v>338</v>
      </c>
      <c r="L775" t="s">
        <v>45</v>
      </c>
      <c r="AJ775" s="1">
        <v>41638</v>
      </c>
      <c r="AK775" t="s">
        <v>572</v>
      </c>
    </row>
    <row r="776" spans="1:37" ht="15">
      <c r="A776" t="str">
        <f t="shared" si="35"/>
        <v>Z110C1EBC1</v>
      </c>
      <c r="B776" t="str">
        <f t="shared" si="36"/>
        <v>02406911202</v>
      </c>
      <c r="C776" t="s">
        <v>13</v>
      </c>
      <c r="D776" t="s">
        <v>37</v>
      </c>
      <c r="E776" t="s">
        <v>552</v>
      </c>
      <c r="F776" t="s">
        <v>89</v>
      </c>
      <c r="G776" t="str">
        <f>"00715550422"</f>
        <v>00715550422</v>
      </c>
      <c r="I776" t="s">
        <v>562</v>
      </c>
      <c r="L776" t="s">
        <v>45</v>
      </c>
      <c r="AJ776" s="1">
        <v>41638</v>
      </c>
      <c r="AK776" t="s">
        <v>572</v>
      </c>
    </row>
    <row r="777" spans="1:37" ht="15">
      <c r="A777" t="str">
        <f t="shared" si="35"/>
        <v>Z110C1EBC1</v>
      </c>
      <c r="B777" t="str">
        <f t="shared" si="36"/>
        <v>02406911202</v>
      </c>
      <c r="C777" t="s">
        <v>13</v>
      </c>
      <c r="D777" t="s">
        <v>37</v>
      </c>
      <c r="E777" t="s">
        <v>552</v>
      </c>
      <c r="F777" t="s">
        <v>89</v>
      </c>
      <c r="G777" t="str">
        <f>"04875890156"</f>
        <v>04875890156</v>
      </c>
      <c r="I777" t="s">
        <v>113</v>
      </c>
      <c r="L777" t="s">
        <v>45</v>
      </c>
      <c r="AJ777" s="1">
        <v>41638</v>
      </c>
      <c r="AK777" t="s">
        <v>572</v>
      </c>
    </row>
    <row r="778" spans="1:37" ht="15">
      <c r="A778" t="str">
        <f t="shared" si="35"/>
        <v>Z110C1EBC1</v>
      </c>
      <c r="B778" t="str">
        <f t="shared" si="36"/>
        <v>02406911202</v>
      </c>
      <c r="C778" t="s">
        <v>13</v>
      </c>
      <c r="D778" t="s">
        <v>37</v>
      </c>
      <c r="E778" t="s">
        <v>552</v>
      </c>
      <c r="F778" t="s">
        <v>89</v>
      </c>
      <c r="G778" t="str">
        <f>"10852890150"</f>
        <v>10852890150</v>
      </c>
      <c r="I778" t="s">
        <v>563</v>
      </c>
      <c r="L778" t="s">
        <v>45</v>
      </c>
      <c r="AJ778" s="1">
        <v>41638</v>
      </c>
      <c r="AK778" t="s">
        <v>572</v>
      </c>
    </row>
    <row r="779" spans="1:37" ht="15">
      <c r="A779" t="str">
        <f t="shared" si="35"/>
        <v>Z110C1EBC1</v>
      </c>
      <c r="B779" t="str">
        <f t="shared" si="36"/>
        <v>02406911202</v>
      </c>
      <c r="C779" t="s">
        <v>13</v>
      </c>
      <c r="D779" t="s">
        <v>37</v>
      </c>
      <c r="E779" t="s">
        <v>552</v>
      </c>
      <c r="F779" t="s">
        <v>89</v>
      </c>
      <c r="G779" t="str">
        <f>"00881470249"</f>
        <v>00881470249</v>
      </c>
      <c r="I779" t="s">
        <v>564</v>
      </c>
      <c r="L779" t="s">
        <v>45</v>
      </c>
      <c r="AJ779" s="1">
        <v>41638</v>
      </c>
      <c r="AK779" t="s">
        <v>572</v>
      </c>
    </row>
    <row r="780" spans="1:37" ht="15">
      <c r="A780" t="str">
        <f t="shared" si="35"/>
        <v>Z110C1EBC1</v>
      </c>
      <c r="B780" t="str">
        <f t="shared" si="36"/>
        <v>02406911202</v>
      </c>
      <c r="C780" t="s">
        <v>13</v>
      </c>
      <c r="D780" t="s">
        <v>37</v>
      </c>
      <c r="E780" t="s">
        <v>552</v>
      </c>
      <c r="F780" t="s">
        <v>89</v>
      </c>
      <c r="G780" t="str">
        <f>"10012410014"</f>
        <v>10012410014</v>
      </c>
      <c r="I780" t="s">
        <v>565</v>
      </c>
      <c r="L780" t="s">
        <v>45</v>
      </c>
      <c r="AJ780" s="1">
        <v>41638</v>
      </c>
      <c r="AK780" t="s">
        <v>572</v>
      </c>
    </row>
    <row r="781" spans="1:37" ht="15">
      <c r="A781" t="str">
        <f t="shared" si="35"/>
        <v>Z110C1EBC1</v>
      </c>
      <c r="B781" t="str">
        <f t="shared" si="36"/>
        <v>02406911202</v>
      </c>
      <c r="C781" t="s">
        <v>13</v>
      </c>
      <c r="D781" t="s">
        <v>37</v>
      </c>
      <c r="E781" t="s">
        <v>552</v>
      </c>
      <c r="F781" t="s">
        <v>89</v>
      </c>
      <c r="G781" t="str">
        <f>"01201040423"</f>
        <v>01201040423</v>
      </c>
      <c r="I781" t="s">
        <v>566</v>
      </c>
      <c r="L781" t="s">
        <v>45</v>
      </c>
      <c r="AJ781" s="1">
        <v>41638</v>
      </c>
      <c r="AK781" t="s">
        <v>572</v>
      </c>
    </row>
    <row r="782" spans="1:37" ht="15">
      <c r="A782" t="str">
        <f t="shared" si="35"/>
        <v>Z110C1EBC1</v>
      </c>
      <c r="B782" t="str">
        <f t="shared" si="36"/>
        <v>02406911202</v>
      </c>
      <c r="C782" t="s">
        <v>13</v>
      </c>
      <c r="D782" t="s">
        <v>37</v>
      </c>
      <c r="E782" t="s">
        <v>552</v>
      </c>
      <c r="F782" t="s">
        <v>89</v>
      </c>
      <c r="G782" t="str">
        <f>"00615700374"</f>
        <v>00615700374</v>
      </c>
      <c r="I782" t="s">
        <v>172</v>
      </c>
      <c r="L782" t="s">
        <v>45</v>
      </c>
      <c r="AJ782" s="1">
        <v>41638</v>
      </c>
      <c r="AK782" t="s">
        <v>572</v>
      </c>
    </row>
    <row r="783" spans="1:37" ht="15">
      <c r="A783" t="str">
        <f t="shared" si="35"/>
        <v>Z110C1EBC1</v>
      </c>
      <c r="B783" t="str">
        <f t="shared" si="36"/>
        <v>02406911202</v>
      </c>
      <c r="C783" t="s">
        <v>13</v>
      </c>
      <c r="D783" t="s">
        <v>37</v>
      </c>
      <c r="E783" t="s">
        <v>552</v>
      </c>
      <c r="F783" t="s">
        <v>89</v>
      </c>
      <c r="G783" t="str">
        <f>"01794050151"</f>
        <v>01794050151</v>
      </c>
      <c r="I783" t="s">
        <v>567</v>
      </c>
      <c r="L783" t="s">
        <v>45</v>
      </c>
      <c r="AJ783" s="1">
        <v>41638</v>
      </c>
      <c r="AK783" t="s">
        <v>572</v>
      </c>
    </row>
    <row r="784" spans="1:37" ht="15">
      <c r="A784" t="str">
        <f t="shared" si="35"/>
        <v>Z110C1EBC1</v>
      </c>
      <c r="B784" t="str">
        <f t="shared" si="36"/>
        <v>02406911202</v>
      </c>
      <c r="C784" t="s">
        <v>13</v>
      </c>
      <c r="D784" t="s">
        <v>37</v>
      </c>
      <c r="E784" t="s">
        <v>552</v>
      </c>
      <c r="F784" t="s">
        <v>89</v>
      </c>
      <c r="G784" t="str">
        <f>"00759430267"</f>
        <v>00759430267</v>
      </c>
      <c r="I784" t="s">
        <v>568</v>
      </c>
      <c r="L784" t="s">
        <v>45</v>
      </c>
      <c r="AJ784" s="1">
        <v>41638</v>
      </c>
      <c r="AK784" t="s">
        <v>572</v>
      </c>
    </row>
    <row r="785" spans="1:37" ht="15">
      <c r="A785" t="str">
        <f t="shared" si="35"/>
        <v>Z110C1EBC1</v>
      </c>
      <c r="B785" t="str">
        <f t="shared" si="36"/>
        <v>02406911202</v>
      </c>
      <c r="C785" t="s">
        <v>13</v>
      </c>
      <c r="D785" t="s">
        <v>37</v>
      </c>
      <c r="E785" t="s">
        <v>552</v>
      </c>
      <c r="F785" t="s">
        <v>89</v>
      </c>
      <c r="G785" t="str">
        <f>"02367210735"</f>
        <v>02367210735</v>
      </c>
      <c r="I785" t="s">
        <v>569</v>
      </c>
      <c r="L785" t="s">
        <v>45</v>
      </c>
      <c r="AJ785" s="1">
        <v>41638</v>
      </c>
      <c r="AK785" t="s">
        <v>572</v>
      </c>
    </row>
    <row r="786" spans="1:37" ht="15">
      <c r="A786" t="str">
        <f t="shared" si="35"/>
        <v>Z110C1EBC1</v>
      </c>
      <c r="B786" t="str">
        <f t="shared" si="36"/>
        <v>02406911202</v>
      </c>
      <c r="C786" t="s">
        <v>13</v>
      </c>
      <c r="D786" t="s">
        <v>37</v>
      </c>
      <c r="E786" t="s">
        <v>552</v>
      </c>
      <c r="F786" t="s">
        <v>89</v>
      </c>
      <c r="G786" t="str">
        <f>"11575580151"</f>
        <v>11575580151</v>
      </c>
      <c r="I786" t="s">
        <v>570</v>
      </c>
      <c r="L786" t="s">
        <v>45</v>
      </c>
      <c r="AJ786" s="1">
        <v>41638</v>
      </c>
      <c r="AK786" t="s">
        <v>572</v>
      </c>
    </row>
    <row r="787" spans="1:37" ht="15">
      <c r="A787" t="str">
        <f t="shared" si="35"/>
        <v>Z110C1EBC1</v>
      </c>
      <c r="B787" t="str">
        <f t="shared" si="36"/>
        <v>02406911202</v>
      </c>
      <c r="C787" t="s">
        <v>13</v>
      </c>
      <c r="D787" t="s">
        <v>37</v>
      </c>
      <c r="E787" t="s">
        <v>552</v>
      </c>
      <c r="F787" t="s">
        <v>89</v>
      </c>
      <c r="G787" t="str">
        <f>"07424950157"</f>
        <v>07424950157</v>
      </c>
      <c r="I787" t="s">
        <v>571</v>
      </c>
      <c r="L787" t="s">
        <v>45</v>
      </c>
      <c r="AJ787" s="1">
        <v>41638</v>
      </c>
      <c r="AK787" t="s">
        <v>572</v>
      </c>
    </row>
    <row r="788" spans="1:37" ht="15">
      <c r="A788" t="str">
        <f t="shared" si="35"/>
        <v>Z110C1EBC1</v>
      </c>
      <c r="B788" t="str">
        <f t="shared" si="36"/>
        <v>02406911202</v>
      </c>
      <c r="C788" t="s">
        <v>13</v>
      </c>
      <c r="D788" t="s">
        <v>37</v>
      </c>
      <c r="E788" t="s">
        <v>552</v>
      </c>
      <c r="F788" t="s">
        <v>89</v>
      </c>
      <c r="G788" t="str">
        <f>"03597020373"</f>
        <v>03597020373</v>
      </c>
      <c r="I788" t="s">
        <v>100</v>
      </c>
      <c r="L788" t="s">
        <v>45</v>
      </c>
      <c r="AJ788" s="1">
        <v>41638</v>
      </c>
      <c r="AK788" t="s">
        <v>572</v>
      </c>
    </row>
    <row r="789" spans="1:37" ht="15">
      <c r="A789" t="str">
        <f t="shared" si="35"/>
        <v>Z110C1EBC1</v>
      </c>
      <c r="B789" t="str">
        <f t="shared" si="36"/>
        <v>02406911202</v>
      </c>
      <c r="C789" t="s">
        <v>13</v>
      </c>
      <c r="D789" t="s">
        <v>37</v>
      </c>
      <c r="E789" t="s">
        <v>552</v>
      </c>
      <c r="F789" t="s">
        <v>89</v>
      </c>
      <c r="G789" t="str">
        <f>"06324460150"</f>
        <v>06324460150</v>
      </c>
      <c r="I789" t="s">
        <v>166</v>
      </c>
      <c r="L789" t="s">
        <v>45</v>
      </c>
      <c r="AJ789" s="1">
        <v>41638</v>
      </c>
      <c r="AK789" t="s">
        <v>572</v>
      </c>
    </row>
    <row r="790" spans="1:36" ht="15">
      <c r="A790" t="str">
        <f aca="true" t="shared" si="37" ref="A790:A814">"Z010C1EC58"</f>
        <v>Z010C1EC58</v>
      </c>
      <c r="B790" t="str">
        <f t="shared" si="36"/>
        <v>02406911202</v>
      </c>
      <c r="C790" t="s">
        <v>13</v>
      </c>
      <c r="D790" t="s">
        <v>37</v>
      </c>
      <c r="E790" t="s">
        <v>552</v>
      </c>
      <c r="F790" t="s">
        <v>89</v>
      </c>
      <c r="G790" t="str">
        <f>"07297190154"</f>
        <v>07297190154</v>
      </c>
      <c r="I790" t="s">
        <v>447</v>
      </c>
      <c r="L790" t="s">
        <v>45</v>
      </c>
      <c r="AJ790" s="1">
        <v>41638</v>
      </c>
    </row>
    <row r="791" spans="1:36" ht="15">
      <c r="A791" t="str">
        <f t="shared" si="37"/>
        <v>Z010C1EC58</v>
      </c>
      <c r="B791" t="str">
        <f t="shared" si="36"/>
        <v>02406911202</v>
      </c>
      <c r="C791" t="s">
        <v>13</v>
      </c>
      <c r="D791" t="s">
        <v>37</v>
      </c>
      <c r="E791" t="s">
        <v>552</v>
      </c>
      <c r="F791" t="s">
        <v>89</v>
      </c>
      <c r="G791" t="str">
        <f>"00915180491"</f>
        <v>00915180491</v>
      </c>
      <c r="I791" t="s">
        <v>554</v>
      </c>
      <c r="L791" t="s">
        <v>45</v>
      </c>
      <c r="AJ791" s="1">
        <v>41638</v>
      </c>
    </row>
    <row r="792" spans="1:36" ht="15">
      <c r="A792" t="str">
        <f t="shared" si="37"/>
        <v>Z010C1EC58</v>
      </c>
      <c r="B792" t="str">
        <f t="shared" si="36"/>
        <v>02406911202</v>
      </c>
      <c r="C792" t="s">
        <v>13</v>
      </c>
      <c r="D792" t="s">
        <v>37</v>
      </c>
      <c r="E792" t="s">
        <v>552</v>
      </c>
      <c r="F792" t="s">
        <v>89</v>
      </c>
      <c r="G792" t="str">
        <f>"06111530637"</f>
        <v>06111530637</v>
      </c>
      <c r="I792" t="s">
        <v>530</v>
      </c>
      <c r="L792" t="s">
        <v>45</v>
      </c>
      <c r="AJ792" s="1">
        <v>41638</v>
      </c>
    </row>
    <row r="793" spans="1:36" ht="15">
      <c r="A793" t="str">
        <f t="shared" si="37"/>
        <v>Z010C1EC58</v>
      </c>
      <c r="B793" t="str">
        <f t="shared" si="36"/>
        <v>02406911202</v>
      </c>
      <c r="C793" t="s">
        <v>13</v>
      </c>
      <c r="D793" t="s">
        <v>37</v>
      </c>
      <c r="E793" t="s">
        <v>552</v>
      </c>
      <c r="F793" t="s">
        <v>89</v>
      </c>
      <c r="G793" t="str">
        <f>"05067060011"</f>
        <v>05067060011</v>
      </c>
      <c r="I793" t="s">
        <v>555</v>
      </c>
      <c r="L793" t="s">
        <v>45</v>
      </c>
      <c r="AJ793" s="1">
        <v>41638</v>
      </c>
    </row>
    <row r="794" spans="1:36" ht="15">
      <c r="A794" t="str">
        <f t="shared" si="37"/>
        <v>Z010C1EC58</v>
      </c>
      <c r="B794" t="str">
        <f t="shared" si="36"/>
        <v>02406911202</v>
      </c>
      <c r="C794" t="s">
        <v>13</v>
      </c>
      <c r="D794" t="s">
        <v>37</v>
      </c>
      <c r="E794" t="s">
        <v>552</v>
      </c>
      <c r="F794" t="s">
        <v>89</v>
      </c>
      <c r="G794" t="str">
        <f>"01442250286"</f>
        <v>01442250286</v>
      </c>
      <c r="I794" t="s">
        <v>556</v>
      </c>
      <c r="L794" t="s">
        <v>45</v>
      </c>
      <c r="AJ794" s="1">
        <v>41638</v>
      </c>
    </row>
    <row r="795" spans="1:36" ht="15">
      <c r="A795" t="str">
        <f t="shared" si="37"/>
        <v>Z010C1EC58</v>
      </c>
      <c r="B795" t="str">
        <f t="shared" si="36"/>
        <v>02406911202</v>
      </c>
      <c r="C795" t="s">
        <v>13</v>
      </c>
      <c r="D795" t="s">
        <v>37</v>
      </c>
      <c r="E795" t="s">
        <v>552</v>
      </c>
      <c r="F795" t="s">
        <v>89</v>
      </c>
      <c r="G795" t="str">
        <f>"01613700275"</f>
        <v>01613700275</v>
      </c>
      <c r="I795" t="s">
        <v>557</v>
      </c>
      <c r="L795" t="s">
        <v>45</v>
      </c>
      <c r="AJ795" s="1">
        <v>41638</v>
      </c>
    </row>
    <row r="796" spans="1:36" ht="15">
      <c r="A796" t="str">
        <f t="shared" si="37"/>
        <v>Z010C1EC58</v>
      </c>
      <c r="B796" t="str">
        <f t="shared" si="36"/>
        <v>02406911202</v>
      </c>
      <c r="C796" t="s">
        <v>13</v>
      </c>
      <c r="D796" t="s">
        <v>37</v>
      </c>
      <c r="E796" t="s">
        <v>552</v>
      </c>
      <c r="F796" t="s">
        <v>89</v>
      </c>
      <c r="G796" t="str">
        <f>"01897730659"</f>
        <v>01897730659</v>
      </c>
      <c r="I796" t="s">
        <v>558</v>
      </c>
      <c r="L796" t="s">
        <v>45</v>
      </c>
      <c r="AJ796" s="1">
        <v>41638</v>
      </c>
    </row>
    <row r="797" spans="1:36" ht="15">
      <c r="A797" t="str">
        <f t="shared" si="37"/>
        <v>Z010C1EC58</v>
      </c>
      <c r="B797" t="str">
        <f t="shared" si="36"/>
        <v>02406911202</v>
      </c>
      <c r="C797" t="s">
        <v>13</v>
      </c>
      <c r="D797" t="s">
        <v>37</v>
      </c>
      <c r="E797" t="s">
        <v>552</v>
      </c>
      <c r="F797" t="s">
        <v>89</v>
      </c>
      <c r="G797" t="str">
        <f>"02707600249"</f>
        <v>02707600249</v>
      </c>
      <c r="I797" t="s">
        <v>559</v>
      </c>
      <c r="L797" t="s">
        <v>45</v>
      </c>
      <c r="AJ797" s="1">
        <v>41638</v>
      </c>
    </row>
    <row r="798" spans="1:36" ht="15">
      <c r="A798" t="str">
        <f t="shared" si="37"/>
        <v>Z010C1EC58</v>
      </c>
      <c r="B798" t="str">
        <f t="shared" si="36"/>
        <v>02406911202</v>
      </c>
      <c r="C798" t="s">
        <v>13</v>
      </c>
      <c r="D798" t="s">
        <v>37</v>
      </c>
      <c r="E798" t="s">
        <v>552</v>
      </c>
      <c r="F798" t="s">
        <v>89</v>
      </c>
      <c r="G798" t="str">
        <f>"01063890394"</f>
        <v>01063890394</v>
      </c>
      <c r="I798" t="s">
        <v>560</v>
      </c>
      <c r="L798" t="s">
        <v>45</v>
      </c>
      <c r="AJ798" s="1">
        <v>41638</v>
      </c>
    </row>
    <row r="799" spans="1:36" ht="15">
      <c r="A799" t="str">
        <f t="shared" si="37"/>
        <v>Z010C1EC58</v>
      </c>
      <c r="B799" t="str">
        <f t="shared" si="36"/>
        <v>02406911202</v>
      </c>
      <c r="C799" t="s">
        <v>13</v>
      </c>
      <c r="D799" t="s">
        <v>37</v>
      </c>
      <c r="E799" t="s">
        <v>552</v>
      </c>
      <c r="F799" t="s">
        <v>89</v>
      </c>
      <c r="G799" t="str">
        <f>"01557980131"</f>
        <v>01557980131</v>
      </c>
      <c r="I799" t="s">
        <v>561</v>
      </c>
      <c r="L799" t="s">
        <v>45</v>
      </c>
      <c r="AJ799" s="1">
        <v>41638</v>
      </c>
    </row>
    <row r="800" spans="1:36" ht="15">
      <c r="A800" t="str">
        <f t="shared" si="37"/>
        <v>Z010C1EC58</v>
      </c>
      <c r="B800" t="str">
        <f t="shared" si="36"/>
        <v>02406911202</v>
      </c>
      <c r="C800" t="s">
        <v>13</v>
      </c>
      <c r="D800" t="s">
        <v>37</v>
      </c>
      <c r="E800" t="s">
        <v>552</v>
      </c>
      <c r="F800" t="s">
        <v>89</v>
      </c>
      <c r="G800" t="str">
        <f>"03578710729"</f>
        <v>03578710729</v>
      </c>
      <c r="I800" t="s">
        <v>338</v>
      </c>
      <c r="L800" t="s">
        <v>45</v>
      </c>
      <c r="AJ800" s="1">
        <v>41638</v>
      </c>
    </row>
    <row r="801" spans="1:36" ht="15">
      <c r="A801" t="str">
        <f t="shared" si="37"/>
        <v>Z010C1EC58</v>
      </c>
      <c r="B801" t="str">
        <f t="shared" si="36"/>
        <v>02406911202</v>
      </c>
      <c r="C801" t="s">
        <v>13</v>
      </c>
      <c r="D801" t="s">
        <v>37</v>
      </c>
      <c r="E801" t="s">
        <v>552</v>
      </c>
      <c r="F801" t="s">
        <v>89</v>
      </c>
      <c r="G801" t="str">
        <f>"00715550422"</f>
        <v>00715550422</v>
      </c>
      <c r="I801" t="s">
        <v>562</v>
      </c>
      <c r="L801" t="s">
        <v>45</v>
      </c>
      <c r="AJ801" s="1">
        <v>41638</v>
      </c>
    </row>
    <row r="802" spans="1:36" ht="15">
      <c r="A802" t="str">
        <f t="shared" si="37"/>
        <v>Z010C1EC58</v>
      </c>
      <c r="B802" t="str">
        <f t="shared" si="36"/>
        <v>02406911202</v>
      </c>
      <c r="C802" t="s">
        <v>13</v>
      </c>
      <c r="D802" t="s">
        <v>37</v>
      </c>
      <c r="E802" t="s">
        <v>552</v>
      </c>
      <c r="F802" t="s">
        <v>89</v>
      </c>
      <c r="G802" t="str">
        <f>"04875890156"</f>
        <v>04875890156</v>
      </c>
      <c r="I802" t="s">
        <v>113</v>
      </c>
      <c r="L802" t="s">
        <v>45</v>
      </c>
      <c r="AJ802" s="1">
        <v>41638</v>
      </c>
    </row>
    <row r="803" spans="1:36" ht="15">
      <c r="A803" t="str">
        <f t="shared" si="37"/>
        <v>Z010C1EC58</v>
      </c>
      <c r="B803" t="str">
        <f t="shared" si="36"/>
        <v>02406911202</v>
      </c>
      <c r="C803" t="s">
        <v>13</v>
      </c>
      <c r="D803" t="s">
        <v>37</v>
      </c>
      <c r="E803" t="s">
        <v>552</v>
      </c>
      <c r="F803" t="s">
        <v>89</v>
      </c>
      <c r="G803" t="str">
        <f>"10852890150"</f>
        <v>10852890150</v>
      </c>
      <c r="I803" t="s">
        <v>563</v>
      </c>
      <c r="L803" t="s">
        <v>45</v>
      </c>
      <c r="AJ803" s="1">
        <v>41638</v>
      </c>
    </row>
    <row r="804" spans="1:36" ht="15">
      <c r="A804" t="str">
        <f t="shared" si="37"/>
        <v>Z010C1EC58</v>
      </c>
      <c r="B804" t="str">
        <f t="shared" si="36"/>
        <v>02406911202</v>
      </c>
      <c r="C804" t="s">
        <v>13</v>
      </c>
      <c r="D804" t="s">
        <v>37</v>
      </c>
      <c r="E804" t="s">
        <v>552</v>
      </c>
      <c r="F804" t="s">
        <v>89</v>
      </c>
      <c r="G804" t="str">
        <f>"00881470249"</f>
        <v>00881470249</v>
      </c>
      <c r="I804" t="s">
        <v>564</v>
      </c>
      <c r="L804" t="s">
        <v>45</v>
      </c>
      <c r="AJ804" s="1">
        <v>41638</v>
      </c>
    </row>
    <row r="805" spans="1:36" ht="15">
      <c r="A805" t="str">
        <f t="shared" si="37"/>
        <v>Z010C1EC58</v>
      </c>
      <c r="B805" t="str">
        <f t="shared" si="36"/>
        <v>02406911202</v>
      </c>
      <c r="C805" t="s">
        <v>13</v>
      </c>
      <c r="D805" t="s">
        <v>37</v>
      </c>
      <c r="E805" t="s">
        <v>552</v>
      </c>
      <c r="F805" t="s">
        <v>89</v>
      </c>
      <c r="G805" t="str">
        <f>"10012410014"</f>
        <v>10012410014</v>
      </c>
      <c r="I805" t="s">
        <v>565</v>
      </c>
      <c r="L805" t="s">
        <v>45</v>
      </c>
      <c r="AJ805" s="1">
        <v>41638</v>
      </c>
    </row>
    <row r="806" spans="1:36" ht="15">
      <c r="A806" t="str">
        <f t="shared" si="37"/>
        <v>Z010C1EC58</v>
      </c>
      <c r="B806" t="str">
        <f t="shared" si="36"/>
        <v>02406911202</v>
      </c>
      <c r="C806" t="s">
        <v>13</v>
      </c>
      <c r="D806" t="s">
        <v>37</v>
      </c>
      <c r="E806" t="s">
        <v>552</v>
      </c>
      <c r="F806" t="s">
        <v>89</v>
      </c>
      <c r="G806" t="str">
        <f>"01201040423"</f>
        <v>01201040423</v>
      </c>
      <c r="I806" t="s">
        <v>566</v>
      </c>
      <c r="L806" t="s">
        <v>45</v>
      </c>
      <c r="AJ806" s="1">
        <v>41638</v>
      </c>
    </row>
    <row r="807" spans="1:36" ht="15">
      <c r="A807" t="str">
        <f t="shared" si="37"/>
        <v>Z010C1EC58</v>
      </c>
      <c r="B807" t="str">
        <f t="shared" si="36"/>
        <v>02406911202</v>
      </c>
      <c r="C807" t="s">
        <v>13</v>
      </c>
      <c r="D807" t="s">
        <v>37</v>
      </c>
      <c r="E807" t="s">
        <v>552</v>
      </c>
      <c r="F807" t="s">
        <v>89</v>
      </c>
      <c r="G807" t="str">
        <f>"00615700374"</f>
        <v>00615700374</v>
      </c>
      <c r="I807" t="s">
        <v>172</v>
      </c>
      <c r="L807" t="s">
        <v>45</v>
      </c>
      <c r="AJ807" s="1">
        <v>41638</v>
      </c>
    </row>
    <row r="808" spans="1:36" ht="15">
      <c r="A808" t="str">
        <f t="shared" si="37"/>
        <v>Z010C1EC58</v>
      </c>
      <c r="B808" t="str">
        <f t="shared" si="36"/>
        <v>02406911202</v>
      </c>
      <c r="C808" t="s">
        <v>13</v>
      </c>
      <c r="D808" t="s">
        <v>37</v>
      </c>
      <c r="E808" t="s">
        <v>552</v>
      </c>
      <c r="F808" t="s">
        <v>89</v>
      </c>
      <c r="G808" t="str">
        <f>"01794050151"</f>
        <v>01794050151</v>
      </c>
      <c r="I808" t="s">
        <v>567</v>
      </c>
      <c r="L808" t="s">
        <v>45</v>
      </c>
      <c r="AJ808" s="1">
        <v>41638</v>
      </c>
    </row>
    <row r="809" spans="1:36" ht="15">
      <c r="A809" t="str">
        <f t="shared" si="37"/>
        <v>Z010C1EC58</v>
      </c>
      <c r="B809" t="str">
        <f t="shared" si="36"/>
        <v>02406911202</v>
      </c>
      <c r="C809" t="s">
        <v>13</v>
      </c>
      <c r="D809" t="s">
        <v>37</v>
      </c>
      <c r="E809" t="s">
        <v>552</v>
      </c>
      <c r="F809" t="s">
        <v>89</v>
      </c>
      <c r="G809" t="str">
        <f>"00759430267"</f>
        <v>00759430267</v>
      </c>
      <c r="I809" t="s">
        <v>568</v>
      </c>
      <c r="L809" t="s">
        <v>45</v>
      </c>
      <c r="AJ809" s="1">
        <v>41638</v>
      </c>
    </row>
    <row r="810" spans="1:36" ht="15">
      <c r="A810" t="str">
        <f t="shared" si="37"/>
        <v>Z010C1EC58</v>
      </c>
      <c r="B810" t="str">
        <f t="shared" si="36"/>
        <v>02406911202</v>
      </c>
      <c r="C810" t="s">
        <v>13</v>
      </c>
      <c r="D810" t="s">
        <v>37</v>
      </c>
      <c r="E810" t="s">
        <v>552</v>
      </c>
      <c r="F810" t="s">
        <v>89</v>
      </c>
      <c r="G810" t="str">
        <f>"02367210735"</f>
        <v>02367210735</v>
      </c>
      <c r="I810" t="s">
        <v>569</v>
      </c>
      <c r="L810" t="s">
        <v>45</v>
      </c>
      <c r="AJ810" s="1">
        <v>41638</v>
      </c>
    </row>
    <row r="811" spans="1:36" ht="15">
      <c r="A811" t="str">
        <f t="shared" si="37"/>
        <v>Z010C1EC58</v>
      </c>
      <c r="B811" t="str">
        <f t="shared" si="36"/>
        <v>02406911202</v>
      </c>
      <c r="C811" t="s">
        <v>13</v>
      </c>
      <c r="D811" t="s">
        <v>37</v>
      </c>
      <c r="E811" t="s">
        <v>552</v>
      </c>
      <c r="F811" t="s">
        <v>89</v>
      </c>
      <c r="G811" t="str">
        <f>"11575580151"</f>
        <v>11575580151</v>
      </c>
      <c r="I811" t="s">
        <v>570</v>
      </c>
      <c r="L811" t="s">
        <v>41</v>
      </c>
      <c r="M811">
        <v>7732</v>
      </c>
      <c r="AG811">
        <v>3134.63</v>
      </c>
      <c r="AH811" s="1">
        <v>41579</v>
      </c>
      <c r="AI811" s="1">
        <v>42308</v>
      </c>
      <c r="AJ811" s="1">
        <v>41638</v>
      </c>
    </row>
    <row r="812" spans="1:36" ht="15">
      <c r="A812" t="str">
        <f t="shared" si="37"/>
        <v>Z010C1EC58</v>
      </c>
      <c r="B812" t="str">
        <f t="shared" si="36"/>
        <v>02406911202</v>
      </c>
      <c r="C812" t="s">
        <v>13</v>
      </c>
      <c r="D812" t="s">
        <v>37</v>
      </c>
      <c r="E812" t="s">
        <v>552</v>
      </c>
      <c r="F812" t="s">
        <v>89</v>
      </c>
      <c r="G812" t="str">
        <f>"07424950157"</f>
        <v>07424950157</v>
      </c>
      <c r="I812" t="s">
        <v>571</v>
      </c>
      <c r="L812" t="s">
        <v>45</v>
      </c>
      <c r="AJ812" s="1">
        <v>41638</v>
      </c>
    </row>
    <row r="813" spans="1:36" ht="15">
      <c r="A813" t="str">
        <f t="shared" si="37"/>
        <v>Z010C1EC58</v>
      </c>
      <c r="B813" t="str">
        <f t="shared" si="36"/>
        <v>02406911202</v>
      </c>
      <c r="C813" t="s">
        <v>13</v>
      </c>
      <c r="D813" t="s">
        <v>37</v>
      </c>
      <c r="E813" t="s">
        <v>552</v>
      </c>
      <c r="F813" t="s">
        <v>89</v>
      </c>
      <c r="G813" t="str">
        <f>"03597020373"</f>
        <v>03597020373</v>
      </c>
      <c r="I813" t="s">
        <v>100</v>
      </c>
      <c r="L813" t="s">
        <v>45</v>
      </c>
      <c r="AJ813" s="1">
        <v>41638</v>
      </c>
    </row>
    <row r="814" spans="1:36" ht="15">
      <c r="A814" t="str">
        <f t="shared" si="37"/>
        <v>Z010C1EC58</v>
      </c>
      <c r="B814" t="str">
        <f t="shared" si="36"/>
        <v>02406911202</v>
      </c>
      <c r="C814" t="s">
        <v>13</v>
      </c>
      <c r="D814" t="s">
        <v>37</v>
      </c>
      <c r="E814" t="s">
        <v>552</v>
      </c>
      <c r="F814" t="s">
        <v>89</v>
      </c>
      <c r="G814" t="str">
        <f>"06324460150"</f>
        <v>06324460150</v>
      </c>
      <c r="I814" t="s">
        <v>166</v>
      </c>
      <c r="L814" t="s">
        <v>45</v>
      </c>
      <c r="AJ814" s="1">
        <v>41638</v>
      </c>
    </row>
    <row r="815" spans="1:36" ht="15">
      <c r="A815" t="str">
        <f>"5406224D2A"</f>
        <v>5406224D2A</v>
      </c>
      <c r="B815" t="str">
        <f t="shared" si="36"/>
        <v>02406911202</v>
      </c>
      <c r="C815" t="s">
        <v>13</v>
      </c>
      <c r="D815" t="s">
        <v>37</v>
      </c>
      <c r="E815" t="s">
        <v>573</v>
      </c>
      <c r="F815" t="s">
        <v>39</v>
      </c>
      <c r="G815" t="str">
        <f>"11206730159"</f>
        <v>11206730159</v>
      </c>
      <c r="I815" t="s">
        <v>255</v>
      </c>
      <c r="L815" t="s">
        <v>41</v>
      </c>
      <c r="M815">
        <v>17600</v>
      </c>
      <c r="AG815">
        <v>0</v>
      </c>
      <c r="AH815" s="1">
        <v>41578</v>
      </c>
      <c r="AI815" s="1">
        <v>41942</v>
      </c>
      <c r="AJ815" s="1">
        <v>41638</v>
      </c>
    </row>
    <row r="816" spans="1:36" ht="15">
      <c r="A816" t="str">
        <f>"5406099605"</f>
        <v>5406099605</v>
      </c>
      <c r="B816" t="str">
        <f t="shared" si="36"/>
        <v>02406911202</v>
      </c>
      <c r="C816" t="s">
        <v>13</v>
      </c>
      <c r="D816" t="s">
        <v>37</v>
      </c>
      <c r="E816" t="s">
        <v>573</v>
      </c>
      <c r="F816" t="s">
        <v>39</v>
      </c>
      <c r="G816" t="str">
        <f>"00868480153"</f>
        <v>00868480153</v>
      </c>
      <c r="I816" t="s">
        <v>254</v>
      </c>
      <c r="L816" t="s">
        <v>41</v>
      </c>
      <c r="M816">
        <v>31094</v>
      </c>
      <c r="AG816">
        <v>0</v>
      </c>
      <c r="AH816" s="1">
        <v>41578</v>
      </c>
      <c r="AI816" s="1">
        <v>41942</v>
      </c>
      <c r="AJ816" s="1">
        <v>41638</v>
      </c>
    </row>
    <row r="817" spans="1:36" ht="15">
      <c r="A817" t="str">
        <f>"5406133215"</f>
        <v>5406133215</v>
      </c>
      <c r="B817" t="str">
        <f t="shared" si="36"/>
        <v>02406911202</v>
      </c>
      <c r="C817" t="s">
        <v>13</v>
      </c>
      <c r="D817" t="s">
        <v>37</v>
      </c>
      <c r="E817" t="s">
        <v>573</v>
      </c>
      <c r="F817" t="s">
        <v>39</v>
      </c>
      <c r="G817" t="str">
        <f>"00868480153"</f>
        <v>00868480153</v>
      </c>
      <c r="I817" t="s">
        <v>254</v>
      </c>
      <c r="L817" t="s">
        <v>41</v>
      </c>
      <c r="M817">
        <v>239165</v>
      </c>
      <c r="AG817">
        <v>210045.35</v>
      </c>
      <c r="AH817" s="1">
        <v>41578</v>
      </c>
      <c r="AI817" s="1">
        <v>41942</v>
      </c>
      <c r="AJ817" s="1">
        <v>41638</v>
      </c>
    </row>
    <row r="818" spans="1:36" ht="15">
      <c r="A818" t="str">
        <f>"54063515FA"</f>
        <v>54063515FA</v>
      </c>
      <c r="B818" t="str">
        <f t="shared" si="36"/>
        <v>02406911202</v>
      </c>
      <c r="C818" t="s">
        <v>13</v>
      </c>
      <c r="D818" t="s">
        <v>37</v>
      </c>
      <c r="E818" t="s">
        <v>573</v>
      </c>
      <c r="F818" t="s">
        <v>39</v>
      </c>
      <c r="G818" t="str">
        <f>"04094700376"</f>
        <v>04094700376</v>
      </c>
      <c r="I818" t="s">
        <v>256</v>
      </c>
      <c r="L818" t="s">
        <v>41</v>
      </c>
      <c r="M818">
        <v>19791</v>
      </c>
      <c r="AG818">
        <v>28705.9</v>
      </c>
      <c r="AH818" s="1">
        <v>41578</v>
      </c>
      <c r="AI818" s="1">
        <v>41942</v>
      </c>
      <c r="AJ818" s="1">
        <v>41638</v>
      </c>
    </row>
    <row r="819" spans="1:36" ht="15">
      <c r="A819" t="str">
        <f>"5406246F51"</f>
        <v>5406246F51</v>
      </c>
      <c r="B819" t="str">
        <f t="shared" si="36"/>
        <v>02406911202</v>
      </c>
      <c r="C819" t="s">
        <v>13</v>
      </c>
      <c r="D819" t="s">
        <v>37</v>
      </c>
      <c r="E819" t="s">
        <v>573</v>
      </c>
      <c r="F819" t="s">
        <v>39</v>
      </c>
      <c r="G819" t="str">
        <f>"11206730159"</f>
        <v>11206730159</v>
      </c>
      <c r="I819" t="s">
        <v>255</v>
      </c>
      <c r="L819" t="s">
        <v>41</v>
      </c>
      <c r="M819">
        <v>3300</v>
      </c>
      <c r="AG819">
        <v>0</v>
      </c>
      <c r="AH819" s="1">
        <v>41578</v>
      </c>
      <c r="AI819" s="1">
        <v>41942</v>
      </c>
      <c r="AJ819" s="1">
        <v>41638</v>
      </c>
    </row>
    <row r="820" spans="1:36" ht="15">
      <c r="A820" t="str">
        <f>"540616085B"</f>
        <v>540616085B</v>
      </c>
      <c r="B820" t="str">
        <f t="shared" si="36"/>
        <v>02406911202</v>
      </c>
      <c r="C820" t="s">
        <v>13</v>
      </c>
      <c r="D820" t="s">
        <v>37</v>
      </c>
      <c r="E820" t="s">
        <v>573</v>
      </c>
      <c r="F820" t="s">
        <v>39</v>
      </c>
      <c r="G820" t="str">
        <f>"00868480153"</f>
        <v>00868480153</v>
      </c>
      <c r="I820" t="s">
        <v>254</v>
      </c>
      <c r="L820" t="s">
        <v>41</v>
      </c>
      <c r="M820">
        <v>15547</v>
      </c>
      <c r="AG820">
        <v>0</v>
      </c>
      <c r="AH820" s="1">
        <v>41578</v>
      </c>
      <c r="AI820" s="1">
        <v>41942</v>
      </c>
      <c r="AJ820" s="1">
        <v>41638</v>
      </c>
    </row>
    <row r="821" spans="1:36" ht="15">
      <c r="A821" t="str">
        <f>"540642530C"</f>
        <v>540642530C</v>
      </c>
      <c r="B821" t="str">
        <f t="shared" si="36"/>
        <v>02406911202</v>
      </c>
      <c r="C821" t="s">
        <v>13</v>
      </c>
      <c r="D821" t="s">
        <v>37</v>
      </c>
      <c r="E821" t="s">
        <v>573</v>
      </c>
      <c r="F821" t="s">
        <v>39</v>
      </c>
      <c r="G821" t="str">
        <f>"09238800156"</f>
        <v>09238800156</v>
      </c>
      <c r="I821" t="s">
        <v>257</v>
      </c>
      <c r="L821" t="s">
        <v>41</v>
      </c>
      <c r="M821">
        <v>47572</v>
      </c>
      <c r="AG821">
        <v>31091.7</v>
      </c>
      <c r="AH821" s="1">
        <v>41578</v>
      </c>
      <c r="AI821" s="1">
        <v>41942</v>
      </c>
      <c r="AJ821" s="1">
        <v>41638</v>
      </c>
    </row>
    <row r="822" spans="1:36" ht="15">
      <c r="A822" t="str">
        <f>"5406265EFF"</f>
        <v>5406265EFF</v>
      </c>
      <c r="B822" t="str">
        <f t="shared" si="36"/>
        <v>02406911202</v>
      </c>
      <c r="C822" t="s">
        <v>13</v>
      </c>
      <c r="D822" t="s">
        <v>37</v>
      </c>
      <c r="E822" t="s">
        <v>573</v>
      </c>
      <c r="F822" t="s">
        <v>39</v>
      </c>
      <c r="G822" t="str">
        <f>"11206730159"</f>
        <v>11206730159</v>
      </c>
      <c r="I822" t="s">
        <v>255</v>
      </c>
      <c r="L822" t="s">
        <v>41</v>
      </c>
      <c r="M822">
        <v>49270</v>
      </c>
      <c r="AG822">
        <v>125004</v>
      </c>
      <c r="AH822" s="1">
        <v>41578</v>
      </c>
      <c r="AI822" s="1">
        <v>41942</v>
      </c>
      <c r="AJ822" s="1">
        <v>41638</v>
      </c>
    </row>
    <row r="823" spans="1:36" ht="15">
      <c r="A823" t="str">
        <f>"54061976E4"</f>
        <v>54061976E4</v>
      </c>
      <c r="B823" t="str">
        <f t="shared" si="36"/>
        <v>02406911202</v>
      </c>
      <c r="C823" t="s">
        <v>13</v>
      </c>
      <c r="D823" t="s">
        <v>37</v>
      </c>
      <c r="E823" t="s">
        <v>573</v>
      </c>
      <c r="F823" t="s">
        <v>39</v>
      </c>
      <c r="G823" t="str">
        <f>"00868480153"</f>
        <v>00868480153</v>
      </c>
      <c r="I823" t="s">
        <v>254</v>
      </c>
      <c r="L823" t="s">
        <v>41</v>
      </c>
      <c r="M823">
        <v>4783</v>
      </c>
      <c r="AG823">
        <v>0</v>
      </c>
      <c r="AH823" s="1">
        <v>41578</v>
      </c>
      <c r="AI823" s="1">
        <v>41942</v>
      </c>
      <c r="AJ823" s="1">
        <v>41638</v>
      </c>
    </row>
    <row r="824" spans="1:36" ht="15">
      <c r="A824" t="str">
        <f>"5406301CB5"</f>
        <v>5406301CB5</v>
      </c>
      <c r="B824" t="str">
        <f t="shared" si="36"/>
        <v>02406911202</v>
      </c>
      <c r="C824" t="s">
        <v>13</v>
      </c>
      <c r="D824" t="s">
        <v>37</v>
      </c>
      <c r="E824" t="s">
        <v>573</v>
      </c>
      <c r="F824" t="s">
        <v>39</v>
      </c>
      <c r="G824" t="str">
        <f>"11206730159"</f>
        <v>11206730159</v>
      </c>
      <c r="I824" t="s">
        <v>255</v>
      </c>
      <c r="L824" t="s">
        <v>41</v>
      </c>
      <c r="M824">
        <v>4400</v>
      </c>
      <c r="AG824">
        <v>0</v>
      </c>
      <c r="AH824" s="1">
        <v>41578</v>
      </c>
      <c r="AI824" s="1">
        <v>41942</v>
      </c>
      <c r="AJ824" s="1">
        <v>41638</v>
      </c>
    </row>
    <row r="825" spans="1:36" ht="15">
      <c r="A825" t="str">
        <f>"54095852C3"</f>
        <v>54095852C3</v>
      </c>
      <c r="B825" t="str">
        <f t="shared" si="36"/>
        <v>02406911202</v>
      </c>
      <c r="C825" t="s">
        <v>13</v>
      </c>
      <c r="D825" t="s">
        <v>37</v>
      </c>
      <c r="E825" t="s">
        <v>574</v>
      </c>
      <c r="F825" t="s">
        <v>86</v>
      </c>
      <c r="G825" t="str">
        <f>"00643730419"</f>
        <v>00643730419</v>
      </c>
      <c r="I825" t="s">
        <v>575</v>
      </c>
      <c r="L825" t="s">
        <v>41</v>
      </c>
      <c r="M825">
        <v>178181</v>
      </c>
      <c r="AG825">
        <v>138044.85</v>
      </c>
      <c r="AH825" s="1">
        <v>41579</v>
      </c>
      <c r="AI825" s="1">
        <v>41670</v>
      </c>
      <c r="AJ825" s="1">
        <v>41638</v>
      </c>
    </row>
    <row r="826" spans="1:36" ht="15">
      <c r="A826" t="str">
        <f>"Z5D0C1B2C8"</f>
        <v>Z5D0C1B2C8</v>
      </c>
      <c r="B826" t="str">
        <f t="shared" si="36"/>
        <v>02406911202</v>
      </c>
      <c r="C826" t="s">
        <v>13</v>
      </c>
      <c r="D826" t="s">
        <v>37</v>
      </c>
      <c r="E826" t="s">
        <v>576</v>
      </c>
      <c r="F826" t="s">
        <v>86</v>
      </c>
      <c r="G826" t="str">
        <f>"11846301007"</f>
        <v>11846301007</v>
      </c>
      <c r="I826" t="s">
        <v>577</v>
      </c>
      <c r="L826" t="s">
        <v>41</v>
      </c>
      <c r="M826">
        <v>33600</v>
      </c>
      <c r="AG826">
        <v>31813.6</v>
      </c>
      <c r="AH826" s="1">
        <v>41579</v>
      </c>
      <c r="AI826" s="1">
        <v>41670</v>
      </c>
      <c r="AJ826" s="1">
        <v>41638</v>
      </c>
    </row>
    <row r="827" spans="1:37" ht="15">
      <c r="A827" t="str">
        <f aca="true" t="shared" si="38" ref="A827:A841">"54068387DC"</f>
        <v>54068387DC</v>
      </c>
      <c r="B827" t="str">
        <f t="shared" si="36"/>
        <v>02406911202</v>
      </c>
      <c r="C827" t="s">
        <v>13</v>
      </c>
      <c r="D827" t="s">
        <v>37</v>
      </c>
      <c r="E827" t="s">
        <v>578</v>
      </c>
      <c r="F827" t="s">
        <v>89</v>
      </c>
      <c r="G827" t="str">
        <f>"01538451202"</f>
        <v>01538451202</v>
      </c>
      <c r="I827" t="s">
        <v>579</v>
      </c>
      <c r="L827" t="s">
        <v>45</v>
      </c>
      <c r="AJ827" s="1">
        <v>41638</v>
      </c>
      <c r="AK827" t="s">
        <v>580</v>
      </c>
    </row>
    <row r="828" spans="1:37" ht="15">
      <c r="A828" t="str">
        <f t="shared" si="38"/>
        <v>54068387DC</v>
      </c>
      <c r="B828" t="str">
        <f t="shared" si="36"/>
        <v>02406911202</v>
      </c>
      <c r="C828" t="s">
        <v>13</v>
      </c>
      <c r="D828" t="s">
        <v>37</v>
      </c>
      <c r="E828" t="s">
        <v>578</v>
      </c>
      <c r="F828" t="s">
        <v>89</v>
      </c>
      <c r="G828" t="str">
        <f>"02129190373"</f>
        <v>02129190373</v>
      </c>
      <c r="I828" t="s">
        <v>157</v>
      </c>
      <c r="L828" t="s">
        <v>45</v>
      </c>
      <c r="AJ828" s="1">
        <v>41638</v>
      </c>
      <c r="AK828" t="s">
        <v>580</v>
      </c>
    </row>
    <row r="829" spans="1:37" ht="15">
      <c r="A829" t="str">
        <f t="shared" si="38"/>
        <v>54068387DC</v>
      </c>
      <c r="B829" t="str">
        <f t="shared" si="36"/>
        <v>02406911202</v>
      </c>
      <c r="C829" t="s">
        <v>13</v>
      </c>
      <c r="D829" t="s">
        <v>37</v>
      </c>
      <c r="E829" t="s">
        <v>578</v>
      </c>
      <c r="F829" t="s">
        <v>89</v>
      </c>
      <c r="G829" t="str">
        <f>"11903230156"</f>
        <v>11903230156</v>
      </c>
      <c r="I829" t="s">
        <v>581</v>
      </c>
      <c r="L829" t="s">
        <v>45</v>
      </c>
      <c r="AJ829" s="1">
        <v>41638</v>
      </c>
      <c r="AK829" t="s">
        <v>580</v>
      </c>
    </row>
    <row r="830" spans="1:37" ht="15">
      <c r="A830" t="str">
        <f t="shared" si="38"/>
        <v>54068387DC</v>
      </c>
      <c r="B830" t="str">
        <f t="shared" si="36"/>
        <v>02406911202</v>
      </c>
      <c r="C830" t="s">
        <v>13</v>
      </c>
      <c r="D830" t="s">
        <v>37</v>
      </c>
      <c r="E830" t="s">
        <v>578</v>
      </c>
      <c r="F830" t="s">
        <v>89</v>
      </c>
      <c r="G830" t="str">
        <f>"01857820284"</f>
        <v>01857820284</v>
      </c>
      <c r="I830" t="s">
        <v>582</v>
      </c>
      <c r="L830" t="s">
        <v>45</v>
      </c>
      <c r="AJ830" s="1">
        <v>41638</v>
      </c>
      <c r="AK830" t="s">
        <v>580</v>
      </c>
    </row>
    <row r="831" spans="1:37" ht="15">
      <c r="A831" t="str">
        <f t="shared" si="38"/>
        <v>54068387DC</v>
      </c>
      <c r="B831" t="str">
        <f t="shared" si="36"/>
        <v>02406911202</v>
      </c>
      <c r="C831" t="s">
        <v>13</v>
      </c>
      <c r="D831" t="s">
        <v>37</v>
      </c>
      <c r="E831" t="s">
        <v>578</v>
      </c>
      <c r="F831" t="s">
        <v>89</v>
      </c>
      <c r="G831" t="str">
        <f>"10748060018"</f>
        <v>10748060018</v>
      </c>
      <c r="I831" t="s">
        <v>583</v>
      </c>
      <c r="L831" t="s">
        <v>45</v>
      </c>
      <c r="AJ831" s="1">
        <v>41638</v>
      </c>
      <c r="AK831" t="s">
        <v>580</v>
      </c>
    </row>
    <row r="832" spans="1:37" ht="15">
      <c r="A832" t="str">
        <f t="shared" si="38"/>
        <v>54068387DC</v>
      </c>
      <c r="B832" t="str">
        <f t="shared" si="36"/>
        <v>02406911202</v>
      </c>
      <c r="C832" t="s">
        <v>13</v>
      </c>
      <c r="D832" t="s">
        <v>37</v>
      </c>
      <c r="E832" t="s">
        <v>578</v>
      </c>
      <c r="F832" t="s">
        <v>89</v>
      </c>
      <c r="G832" t="str">
        <f>"01693020206"</f>
        <v>01693020206</v>
      </c>
      <c r="I832" t="s">
        <v>584</v>
      </c>
      <c r="L832" t="s">
        <v>45</v>
      </c>
      <c r="AJ832" s="1">
        <v>41638</v>
      </c>
      <c r="AK832" t="s">
        <v>580</v>
      </c>
    </row>
    <row r="833" spans="1:37" ht="15">
      <c r="A833" t="str">
        <f t="shared" si="38"/>
        <v>54068387DC</v>
      </c>
      <c r="B833" t="str">
        <f t="shared" si="36"/>
        <v>02406911202</v>
      </c>
      <c r="C833" t="s">
        <v>13</v>
      </c>
      <c r="D833" t="s">
        <v>37</v>
      </c>
      <c r="E833" t="s">
        <v>578</v>
      </c>
      <c r="F833" t="s">
        <v>89</v>
      </c>
      <c r="G833" t="str">
        <f>"12384150152"</f>
        <v>12384150152</v>
      </c>
      <c r="I833" t="s">
        <v>585</v>
      </c>
      <c r="L833" t="s">
        <v>45</v>
      </c>
      <c r="AJ833" s="1">
        <v>41638</v>
      </c>
      <c r="AK833" t="s">
        <v>580</v>
      </c>
    </row>
    <row r="834" spans="1:37" ht="15">
      <c r="A834" t="str">
        <f t="shared" si="38"/>
        <v>54068387DC</v>
      </c>
      <c r="B834" t="str">
        <f aca="true" t="shared" si="39" ref="B834:B897">"02406911202"</f>
        <v>02406911202</v>
      </c>
      <c r="C834" t="s">
        <v>13</v>
      </c>
      <c r="D834" t="s">
        <v>37</v>
      </c>
      <c r="E834" t="s">
        <v>578</v>
      </c>
      <c r="F834" t="s">
        <v>89</v>
      </c>
      <c r="G834" t="str">
        <f>"08344720969"</f>
        <v>08344720969</v>
      </c>
      <c r="I834" t="s">
        <v>586</v>
      </c>
      <c r="L834" t="s">
        <v>45</v>
      </c>
      <c r="AJ834" s="1">
        <v>41638</v>
      </c>
      <c r="AK834" t="s">
        <v>580</v>
      </c>
    </row>
    <row r="835" spans="1:37" ht="15">
      <c r="A835" t="str">
        <f t="shared" si="38"/>
        <v>54068387DC</v>
      </c>
      <c r="B835" t="str">
        <f t="shared" si="39"/>
        <v>02406911202</v>
      </c>
      <c r="C835" t="s">
        <v>13</v>
      </c>
      <c r="D835" t="s">
        <v>37</v>
      </c>
      <c r="E835" t="s">
        <v>578</v>
      </c>
      <c r="F835" t="s">
        <v>89</v>
      </c>
      <c r="G835" t="str">
        <f>"00228060349"</f>
        <v>00228060349</v>
      </c>
      <c r="I835" t="s">
        <v>47</v>
      </c>
      <c r="L835" t="s">
        <v>45</v>
      </c>
      <c r="AJ835" s="1">
        <v>41638</v>
      </c>
      <c r="AK835" t="s">
        <v>580</v>
      </c>
    </row>
    <row r="836" spans="1:37" ht="15">
      <c r="A836" t="str">
        <f t="shared" si="38"/>
        <v>54068387DC</v>
      </c>
      <c r="B836" t="str">
        <f t="shared" si="39"/>
        <v>02406911202</v>
      </c>
      <c r="C836" t="s">
        <v>13</v>
      </c>
      <c r="D836" t="s">
        <v>37</v>
      </c>
      <c r="E836" t="s">
        <v>578</v>
      </c>
      <c r="F836" t="s">
        <v>89</v>
      </c>
      <c r="G836" t="str">
        <f>"02803471206"</f>
        <v>02803471206</v>
      </c>
      <c r="I836" t="s">
        <v>587</v>
      </c>
      <c r="L836" t="s">
        <v>45</v>
      </c>
      <c r="AJ836" s="1">
        <v>41638</v>
      </c>
      <c r="AK836" t="s">
        <v>580</v>
      </c>
    </row>
    <row r="837" spans="1:37" ht="15">
      <c r="A837" t="str">
        <f t="shared" si="38"/>
        <v>54068387DC</v>
      </c>
      <c r="B837" t="str">
        <f t="shared" si="39"/>
        <v>02406911202</v>
      </c>
      <c r="C837" t="s">
        <v>13</v>
      </c>
      <c r="D837" t="s">
        <v>37</v>
      </c>
      <c r="E837" t="s">
        <v>578</v>
      </c>
      <c r="F837" t="s">
        <v>89</v>
      </c>
      <c r="G837" t="str">
        <f>"03612120166"</f>
        <v>03612120166</v>
      </c>
      <c r="I837" t="s">
        <v>588</v>
      </c>
      <c r="L837" t="s">
        <v>45</v>
      </c>
      <c r="AJ837" s="1">
        <v>41638</v>
      </c>
      <c r="AK837" t="s">
        <v>580</v>
      </c>
    </row>
    <row r="838" spans="1:37" ht="15">
      <c r="A838" t="str">
        <f t="shared" si="38"/>
        <v>54068387DC</v>
      </c>
      <c r="B838" t="str">
        <f t="shared" si="39"/>
        <v>02406911202</v>
      </c>
      <c r="C838" t="s">
        <v>13</v>
      </c>
      <c r="D838" t="s">
        <v>37</v>
      </c>
      <c r="E838" t="s">
        <v>578</v>
      </c>
      <c r="F838" t="s">
        <v>89</v>
      </c>
      <c r="G838" t="str">
        <f>"10687150150"</f>
        <v>10687150150</v>
      </c>
      <c r="I838" t="s">
        <v>589</v>
      </c>
      <c r="L838" t="s">
        <v>45</v>
      </c>
      <c r="AJ838" s="1">
        <v>41638</v>
      </c>
      <c r="AK838" t="s">
        <v>580</v>
      </c>
    </row>
    <row r="839" spans="1:37" ht="15">
      <c r="A839" t="str">
        <f t="shared" si="38"/>
        <v>54068387DC</v>
      </c>
      <c r="B839" t="str">
        <f t="shared" si="39"/>
        <v>02406911202</v>
      </c>
      <c r="C839" t="s">
        <v>13</v>
      </c>
      <c r="D839" t="s">
        <v>37</v>
      </c>
      <c r="E839" t="s">
        <v>578</v>
      </c>
      <c r="F839" t="s">
        <v>89</v>
      </c>
      <c r="G839" t="str">
        <f>"07909700960"</f>
        <v>07909700960</v>
      </c>
      <c r="I839" t="s">
        <v>590</v>
      </c>
      <c r="L839" t="s">
        <v>45</v>
      </c>
      <c r="AJ839" s="1">
        <v>41638</v>
      </c>
      <c r="AK839" t="s">
        <v>580</v>
      </c>
    </row>
    <row r="840" spans="1:37" ht="15">
      <c r="A840" t="str">
        <f t="shared" si="38"/>
        <v>54068387DC</v>
      </c>
      <c r="B840" t="str">
        <f t="shared" si="39"/>
        <v>02406911202</v>
      </c>
      <c r="C840" t="s">
        <v>13</v>
      </c>
      <c r="D840" t="s">
        <v>37</v>
      </c>
      <c r="E840" t="s">
        <v>578</v>
      </c>
      <c r="F840" t="s">
        <v>89</v>
      </c>
      <c r="G840" t="str">
        <f>"01122350380"</f>
        <v>01122350380</v>
      </c>
      <c r="I840" t="s">
        <v>163</v>
      </c>
      <c r="L840" t="s">
        <v>41</v>
      </c>
      <c r="M840">
        <v>21721.38</v>
      </c>
      <c r="AG840">
        <v>20330.14</v>
      </c>
      <c r="AH840" s="1">
        <v>41640</v>
      </c>
      <c r="AI840" s="1">
        <v>42369</v>
      </c>
      <c r="AJ840" s="1">
        <v>41638</v>
      </c>
      <c r="AK840" t="s">
        <v>580</v>
      </c>
    </row>
    <row r="841" spans="1:37" ht="15">
      <c r="A841" t="str">
        <f t="shared" si="38"/>
        <v>54068387DC</v>
      </c>
      <c r="B841" t="str">
        <f t="shared" si="39"/>
        <v>02406911202</v>
      </c>
      <c r="C841" t="s">
        <v>13</v>
      </c>
      <c r="D841" t="s">
        <v>37</v>
      </c>
      <c r="E841" t="s">
        <v>578</v>
      </c>
      <c r="F841" t="s">
        <v>89</v>
      </c>
      <c r="G841" t="str">
        <f>"01291370201"</f>
        <v>01291370201</v>
      </c>
      <c r="I841" t="s">
        <v>591</v>
      </c>
      <c r="L841" t="s">
        <v>45</v>
      </c>
      <c r="AJ841" s="1">
        <v>41638</v>
      </c>
      <c r="AK841" t="s">
        <v>580</v>
      </c>
    </row>
    <row r="842" spans="1:36" ht="15">
      <c r="A842" t="str">
        <f aca="true" t="shared" si="40" ref="A842:A856">"5406919AB3"</f>
        <v>5406919AB3</v>
      </c>
      <c r="B842" t="str">
        <f t="shared" si="39"/>
        <v>02406911202</v>
      </c>
      <c r="C842" t="s">
        <v>13</v>
      </c>
      <c r="D842" t="s">
        <v>37</v>
      </c>
      <c r="E842" t="s">
        <v>578</v>
      </c>
      <c r="F842" t="s">
        <v>89</v>
      </c>
      <c r="G842" t="str">
        <f>"01538451202"</f>
        <v>01538451202</v>
      </c>
      <c r="I842" t="s">
        <v>579</v>
      </c>
      <c r="L842" t="s">
        <v>45</v>
      </c>
      <c r="AJ842" s="1">
        <v>41638</v>
      </c>
    </row>
    <row r="843" spans="1:36" ht="15">
      <c r="A843" t="str">
        <f t="shared" si="40"/>
        <v>5406919AB3</v>
      </c>
      <c r="B843" t="str">
        <f t="shared" si="39"/>
        <v>02406911202</v>
      </c>
      <c r="C843" t="s">
        <v>13</v>
      </c>
      <c r="D843" t="s">
        <v>37</v>
      </c>
      <c r="E843" t="s">
        <v>578</v>
      </c>
      <c r="F843" t="s">
        <v>89</v>
      </c>
      <c r="G843" t="str">
        <f>"02129190373"</f>
        <v>02129190373</v>
      </c>
      <c r="I843" t="s">
        <v>157</v>
      </c>
      <c r="L843" t="s">
        <v>45</v>
      </c>
      <c r="AJ843" s="1">
        <v>41638</v>
      </c>
    </row>
    <row r="844" spans="1:36" ht="15">
      <c r="A844" t="str">
        <f t="shared" si="40"/>
        <v>5406919AB3</v>
      </c>
      <c r="B844" t="str">
        <f t="shared" si="39"/>
        <v>02406911202</v>
      </c>
      <c r="C844" t="s">
        <v>13</v>
      </c>
      <c r="D844" t="s">
        <v>37</v>
      </c>
      <c r="E844" t="s">
        <v>578</v>
      </c>
      <c r="F844" t="s">
        <v>89</v>
      </c>
      <c r="G844" t="str">
        <f>"11903230156"</f>
        <v>11903230156</v>
      </c>
      <c r="I844" t="s">
        <v>581</v>
      </c>
      <c r="L844" t="s">
        <v>45</v>
      </c>
      <c r="AJ844" s="1">
        <v>41638</v>
      </c>
    </row>
    <row r="845" spans="1:36" ht="15">
      <c r="A845" t="str">
        <f t="shared" si="40"/>
        <v>5406919AB3</v>
      </c>
      <c r="B845" t="str">
        <f t="shared" si="39"/>
        <v>02406911202</v>
      </c>
      <c r="C845" t="s">
        <v>13</v>
      </c>
      <c r="D845" t="s">
        <v>37</v>
      </c>
      <c r="E845" t="s">
        <v>578</v>
      </c>
      <c r="F845" t="s">
        <v>89</v>
      </c>
      <c r="G845" t="str">
        <f>"01857820284"</f>
        <v>01857820284</v>
      </c>
      <c r="I845" t="s">
        <v>582</v>
      </c>
      <c r="L845" t="s">
        <v>45</v>
      </c>
      <c r="AJ845" s="1">
        <v>41638</v>
      </c>
    </row>
    <row r="846" spans="1:36" ht="15">
      <c r="A846" t="str">
        <f t="shared" si="40"/>
        <v>5406919AB3</v>
      </c>
      <c r="B846" t="str">
        <f t="shared" si="39"/>
        <v>02406911202</v>
      </c>
      <c r="C846" t="s">
        <v>13</v>
      </c>
      <c r="D846" t="s">
        <v>37</v>
      </c>
      <c r="E846" t="s">
        <v>578</v>
      </c>
      <c r="F846" t="s">
        <v>89</v>
      </c>
      <c r="G846" t="str">
        <f>"10748060018"</f>
        <v>10748060018</v>
      </c>
      <c r="I846" t="s">
        <v>583</v>
      </c>
      <c r="L846" t="s">
        <v>45</v>
      </c>
      <c r="AJ846" s="1">
        <v>41638</v>
      </c>
    </row>
    <row r="847" spans="1:36" ht="15">
      <c r="A847" t="str">
        <f t="shared" si="40"/>
        <v>5406919AB3</v>
      </c>
      <c r="B847" t="str">
        <f t="shared" si="39"/>
        <v>02406911202</v>
      </c>
      <c r="C847" t="s">
        <v>13</v>
      </c>
      <c r="D847" t="s">
        <v>37</v>
      </c>
      <c r="E847" t="s">
        <v>578</v>
      </c>
      <c r="F847" t="s">
        <v>89</v>
      </c>
      <c r="G847" t="str">
        <f>"01693020206"</f>
        <v>01693020206</v>
      </c>
      <c r="I847" t="s">
        <v>584</v>
      </c>
      <c r="L847" t="s">
        <v>45</v>
      </c>
      <c r="AJ847" s="1">
        <v>41638</v>
      </c>
    </row>
    <row r="848" spans="1:36" ht="15">
      <c r="A848" t="str">
        <f t="shared" si="40"/>
        <v>5406919AB3</v>
      </c>
      <c r="B848" t="str">
        <f t="shared" si="39"/>
        <v>02406911202</v>
      </c>
      <c r="C848" t="s">
        <v>13</v>
      </c>
      <c r="D848" t="s">
        <v>37</v>
      </c>
      <c r="E848" t="s">
        <v>578</v>
      </c>
      <c r="F848" t="s">
        <v>89</v>
      </c>
      <c r="G848" t="str">
        <f>"12384150152"</f>
        <v>12384150152</v>
      </c>
      <c r="I848" t="s">
        <v>585</v>
      </c>
      <c r="L848" t="s">
        <v>45</v>
      </c>
      <c r="AJ848" s="1">
        <v>41638</v>
      </c>
    </row>
    <row r="849" spans="1:36" ht="15">
      <c r="A849" t="str">
        <f t="shared" si="40"/>
        <v>5406919AB3</v>
      </c>
      <c r="B849" t="str">
        <f t="shared" si="39"/>
        <v>02406911202</v>
      </c>
      <c r="C849" t="s">
        <v>13</v>
      </c>
      <c r="D849" t="s">
        <v>37</v>
      </c>
      <c r="E849" t="s">
        <v>578</v>
      </c>
      <c r="F849" t="s">
        <v>89</v>
      </c>
      <c r="G849" t="str">
        <f>"08344720969"</f>
        <v>08344720969</v>
      </c>
      <c r="I849" t="s">
        <v>586</v>
      </c>
      <c r="L849" t="s">
        <v>45</v>
      </c>
      <c r="AJ849" s="1">
        <v>41638</v>
      </c>
    </row>
    <row r="850" spans="1:36" ht="15">
      <c r="A850" t="str">
        <f t="shared" si="40"/>
        <v>5406919AB3</v>
      </c>
      <c r="B850" t="str">
        <f t="shared" si="39"/>
        <v>02406911202</v>
      </c>
      <c r="C850" t="s">
        <v>13</v>
      </c>
      <c r="D850" t="s">
        <v>37</v>
      </c>
      <c r="E850" t="s">
        <v>578</v>
      </c>
      <c r="F850" t="s">
        <v>89</v>
      </c>
      <c r="G850" t="str">
        <f>"00228060349"</f>
        <v>00228060349</v>
      </c>
      <c r="I850" t="s">
        <v>47</v>
      </c>
      <c r="L850" t="s">
        <v>45</v>
      </c>
      <c r="AJ850" s="1">
        <v>41638</v>
      </c>
    </row>
    <row r="851" spans="1:36" ht="15">
      <c r="A851" t="str">
        <f t="shared" si="40"/>
        <v>5406919AB3</v>
      </c>
      <c r="B851" t="str">
        <f t="shared" si="39"/>
        <v>02406911202</v>
      </c>
      <c r="C851" t="s">
        <v>13</v>
      </c>
      <c r="D851" t="s">
        <v>37</v>
      </c>
      <c r="E851" t="s">
        <v>578</v>
      </c>
      <c r="F851" t="s">
        <v>89</v>
      </c>
      <c r="G851" t="str">
        <f>"02803471206"</f>
        <v>02803471206</v>
      </c>
      <c r="I851" t="s">
        <v>587</v>
      </c>
      <c r="L851" t="s">
        <v>45</v>
      </c>
      <c r="AJ851" s="1">
        <v>41638</v>
      </c>
    </row>
    <row r="852" spans="1:36" ht="15">
      <c r="A852" t="str">
        <f t="shared" si="40"/>
        <v>5406919AB3</v>
      </c>
      <c r="B852" t="str">
        <f t="shared" si="39"/>
        <v>02406911202</v>
      </c>
      <c r="C852" t="s">
        <v>13</v>
      </c>
      <c r="D852" t="s">
        <v>37</v>
      </c>
      <c r="E852" t="s">
        <v>578</v>
      </c>
      <c r="F852" t="s">
        <v>89</v>
      </c>
      <c r="G852" t="str">
        <f>"03612120166"</f>
        <v>03612120166</v>
      </c>
      <c r="I852" t="s">
        <v>588</v>
      </c>
      <c r="L852" t="s">
        <v>45</v>
      </c>
      <c r="AJ852" s="1">
        <v>41638</v>
      </c>
    </row>
    <row r="853" spans="1:36" ht="15">
      <c r="A853" t="str">
        <f t="shared" si="40"/>
        <v>5406919AB3</v>
      </c>
      <c r="B853" t="str">
        <f t="shared" si="39"/>
        <v>02406911202</v>
      </c>
      <c r="C853" t="s">
        <v>13</v>
      </c>
      <c r="D853" t="s">
        <v>37</v>
      </c>
      <c r="E853" t="s">
        <v>578</v>
      </c>
      <c r="F853" t="s">
        <v>89</v>
      </c>
      <c r="G853" t="str">
        <f>"10687150150"</f>
        <v>10687150150</v>
      </c>
      <c r="I853" t="s">
        <v>589</v>
      </c>
      <c r="L853" t="s">
        <v>45</v>
      </c>
      <c r="AJ853" s="1">
        <v>41638</v>
      </c>
    </row>
    <row r="854" spans="1:36" ht="15">
      <c r="A854" t="str">
        <f t="shared" si="40"/>
        <v>5406919AB3</v>
      </c>
      <c r="B854" t="str">
        <f t="shared" si="39"/>
        <v>02406911202</v>
      </c>
      <c r="C854" t="s">
        <v>13</v>
      </c>
      <c r="D854" t="s">
        <v>37</v>
      </c>
      <c r="E854" t="s">
        <v>578</v>
      </c>
      <c r="F854" t="s">
        <v>89</v>
      </c>
      <c r="G854" t="str">
        <f>"07909700960"</f>
        <v>07909700960</v>
      </c>
      <c r="I854" t="s">
        <v>590</v>
      </c>
      <c r="L854" t="s">
        <v>45</v>
      </c>
      <c r="AJ854" s="1">
        <v>41638</v>
      </c>
    </row>
    <row r="855" spans="1:36" ht="15">
      <c r="A855" t="str">
        <f t="shared" si="40"/>
        <v>5406919AB3</v>
      </c>
      <c r="B855" t="str">
        <f t="shared" si="39"/>
        <v>02406911202</v>
      </c>
      <c r="C855" t="s">
        <v>13</v>
      </c>
      <c r="D855" t="s">
        <v>37</v>
      </c>
      <c r="E855" t="s">
        <v>578</v>
      </c>
      <c r="F855" t="s">
        <v>89</v>
      </c>
      <c r="G855" t="str">
        <f>"01122350380"</f>
        <v>01122350380</v>
      </c>
      <c r="I855" t="s">
        <v>163</v>
      </c>
      <c r="L855" t="s">
        <v>41</v>
      </c>
      <c r="M855">
        <v>3780</v>
      </c>
      <c r="AG855">
        <v>3585.46</v>
      </c>
      <c r="AH855" s="1">
        <v>41676</v>
      </c>
      <c r="AI855" s="1">
        <v>42369</v>
      </c>
      <c r="AJ855" s="1">
        <v>41638</v>
      </c>
    </row>
    <row r="856" spans="1:36" ht="15">
      <c r="A856" t="str">
        <f t="shared" si="40"/>
        <v>5406919AB3</v>
      </c>
      <c r="B856" t="str">
        <f t="shared" si="39"/>
        <v>02406911202</v>
      </c>
      <c r="C856" t="s">
        <v>13</v>
      </c>
      <c r="D856" t="s">
        <v>37</v>
      </c>
      <c r="E856" t="s">
        <v>578</v>
      </c>
      <c r="F856" t="s">
        <v>89</v>
      </c>
      <c r="G856" t="str">
        <f>"01291370201"</f>
        <v>01291370201</v>
      </c>
      <c r="I856" t="s">
        <v>591</v>
      </c>
      <c r="L856" t="s">
        <v>45</v>
      </c>
      <c r="AJ856" s="1">
        <v>41638</v>
      </c>
    </row>
    <row r="857" spans="1:36" ht="15">
      <c r="A857" t="str">
        <f aca="true" t="shared" si="41" ref="A857:A871">"540695151D"</f>
        <v>540695151D</v>
      </c>
      <c r="B857" t="str">
        <f t="shared" si="39"/>
        <v>02406911202</v>
      </c>
      <c r="C857" t="s">
        <v>13</v>
      </c>
      <c r="D857" t="s">
        <v>37</v>
      </c>
      <c r="E857" t="s">
        <v>578</v>
      </c>
      <c r="F857" t="s">
        <v>89</v>
      </c>
      <c r="G857" t="str">
        <f>"01538451202"</f>
        <v>01538451202</v>
      </c>
      <c r="I857" t="s">
        <v>579</v>
      </c>
      <c r="L857" t="s">
        <v>45</v>
      </c>
      <c r="AJ857" s="1">
        <v>41638</v>
      </c>
    </row>
    <row r="858" spans="1:36" ht="15">
      <c r="A858" t="str">
        <f t="shared" si="41"/>
        <v>540695151D</v>
      </c>
      <c r="B858" t="str">
        <f t="shared" si="39"/>
        <v>02406911202</v>
      </c>
      <c r="C858" t="s">
        <v>13</v>
      </c>
      <c r="D858" t="s">
        <v>37</v>
      </c>
      <c r="E858" t="s">
        <v>578</v>
      </c>
      <c r="F858" t="s">
        <v>89</v>
      </c>
      <c r="G858" t="str">
        <f>"02129190373"</f>
        <v>02129190373</v>
      </c>
      <c r="I858" t="s">
        <v>157</v>
      </c>
      <c r="L858" t="s">
        <v>45</v>
      </c>
      <c r="AJ858" s="1">
        <v>41638</v>
      </c>
    </row>
    <row r="859" spans="1:36" ht="15">
      <c r="A859" t="str">
        <f t="shared" si="41"/>
        <v>540695151D</v>
      </c>
      <c r="B859" t="str">
        <f t="shared" si="39"/>
        <v>02406911202</v>
      </c>
      <c r="C859" t="s">
        <v>13</v>
      </c>
      <c r="D859" t="s">
        <v>37</v>
      </c>
      <c r="E859" t="s">
        <v>578</v>
      </c>
      <c r="F859" t="s">
        <v>89</v>
      </c>
      <c r="G859" t="str">
        <f>"11903230156"</f>
        <v>11903230156</v>
      </c>
      <c r="I859" t="s">
        <v>581</v>
      </c>
      <c r="L859" t="s">
        <v>45</v>
      </c>
      <c r="AJ859" s="1">
        <v>41638</v>
      </c>
    </row>
    <row r="860" spans="1:36" ht="15">
      <c r="A860" t="str">
        <f t="shared" si="41"/>
        <v>540695151D</v>
      </c>
      <c r="B860" t="str">
        <f t="shared" si="39"/>
        <v>02406911202</v>
      </c>
      <c r="C860" t="s">
        <v>13</v>
      </c>
      <c r="D860" t="s">
        <v>37</v>
      </c>
      <c r="E860" t="s">
        <v>578</v>
      </c>
      <c r="F860" t="s">
        <v>89</v>
      </c>
      <c r="G860" t="str">
        <f>"01857820284"</f>
        <v>01857820284</v>
      </c>
      <c r="I860" t="s">
        <v>582</v>
      </c>
      <c r="L860" t="s">
        <v>41</v>
      </c>
      <c r="M860">
        <v>840</v>
      </c>
      <c r="AG860">
        <v>20126.64</v>
      </c>
      <c r="AH860" s="1">
        <v>41640</v>
      </c>
      <c r="AI860" s="1">
        <v>42369</v>
      </c>
      <c r="AJ860" s="1">
        <v>41638</v>
      </c>
    </row>
    <row r="861" spans="1:36" ht="15">
      <c r="A861" t="str">
        <f t="shared" si="41"/>
        <v>540695151D</v>
      </c>
      <c r="B861" t="str">
        <f t="shared" si="39"/>
        <v>02406911202</v>
      </c>
      <c r="C861" t="s">
        <v>13</v>
      </c>
      <c r="D861" t="s">
        <v>37</v>
      </c>
      <c r="E861" t="s">
        <v>578</v>
      </c>
      <c r="F861" t="s">
        <v>89</v>
      </c>
      <c r="G861" t="str">
        <f>"10748060018"</f>
        <v>10748060018</v>
      </c>
      <c r="I861" t="s">
        <v>583</v>
      </c>
      <c r="L861" t="s">
        <v>45</v>
      </c>
      <c r="AJ861" s="1">
        <v>41638</v>
      </c>
    </row>
    <row r="862" spans="1:36" ht="15">
      <c r="A862" t="str">
        <f t="shared" si="41"/>
        <v>540695151D</v>
      </c>
      <c r="B862" t="str">
        <f t="shared" si="39"/>
        <v>02406911202</v>
      </c>
      <c r="C862" t="s">
        <v>13</v>
      </c>
      <c r="D862" t="s">
        <v>37</v>
      </c>
      <c r="E862" t="s">
        <v>578</v>
      </c>
      <c r="F862" t="s">
        <v>89</v>
      </c>
      <c r="G862" t="str">
        <f>"01693020206"</f>
        <v>01693020206</v>
      </c>
      <c r="I862" t="s">
        <v>584</v>
      </c>
      <c r="L862" t="s">
        <v>45</v>
      </c>
      <c r="AJ862" s="1">
        <v>41638</v>
      </c>
    </row>
    <row r="863" spans="1:36" ht="15">
      <c r="A863" t="str">
        <f t="shared" si="41"/>
        <v>540695151D</v>
      </c>
      <c r="B863" t="str">
        <f t="shared" si="39"/>
        <v>02406911202</v>
      </c>
      <c r="C863" t="s">
        <v>13</v>
      </c>
      <c r="D863" t="s">
        <v>37</v>
      </c>
      <c r="E863" t="s">
        <v>578</v>
      </c>
      <c r="F863" t="s">
        <v>89</v>
      </c>
      <c r="G863" t="str">
        <f>"12384150152"</f>
        <v>12384150152</v>
      </c>
      <c r="I863" t="s">
        <v>585</v>
      </c>
      <c r="L863" t="s">
        <v>45</v>
      </c>
      <c r="AJ863" s="1">
        <v>41638</v>
      </c>
    </row>
    <row r="864" spans="1:36" ht="15">
      <c r="A864" t="str">
        <f t="shared" si="41"/>
        <v>540695151D</v>
      </c>
      <c r="B864" t="str">
        <f t="shared" si="39"/>
        <v>02406911202</v>
      </c>
      <c r="C864" t="s">
        <v>13</v>
      </c>
      <c r="D864" t="s">
        <v>37</v>
      </c>
      <c r="E864" t="s">
        <v>578</v>
      </c>
      <c r="F864" t="s">
        <v>89</v>
      </c>
      <c r="G864" t="str">
        <f>"08344720969"</f>
        <v>08344720969</v>
      </c>
      <c r="I864" t="s">
        <v>586</v>
      </c>
      <c r="L864" t="s">
        <v>45</v>
      </c>
      <c r="AJ864" s="1">
        <v>41638</v>
      </c>
    </row>
    <row r="865" spans="1:36" ht="15">
      <c r="A865" t="str">
        <f t="shared" si="41"/>
        <v>540695151D</v>
      </c>
      <c r="B865" t="str">
        <f t="shared" si="39"/>
        <v>02406911202</v>
      </c>
      <c r="C865" t="s">
        <v>13</v>
      </c>
      <c r="D865" t="s">
        <v>37</v>
      </c>
      <c r="E865" t="s">
        <v>578</v>
      </c>
      <c r="F865" t="s">
        <v>89</v>
      </c>
      <c r="G865" t="str">
        <f>"00228060349"</f>
        <v>00228060349</v>
      </c>
      <c r="I865" t="s">
        <v>47</v>
      </c>
      <c r="L865" t="s">
        <v>45</v>
      </c>
      <c r="AJ865" s="1">
        <v>41638</v>
      </c>
    </row>
    <row r="866" spans="1:36" ht="15">
      <c r="A866" t="str">
        <f t="shared" si="41"/>
        <v>540695151D</v>
      </c>
      <c r="B866" t="str">
        <f t="shared" si="39"/>
        <v>02406911202</v>
      </c>
      <c r="C866" t="s">
        <v>13</v>
      </c>
      <c r="D866" t="s">
        <v>37</v>
      </c>
      <c r="E866" t="s">
        <v>578</v>
      </c>
      <c r="F866" t="s">
        <v>89</v>
      </c>
      <c r="G866" t="str">
        <f>"02803471206"</f>
        <v>02803471206</v>
      </c>
      <c r="I866" t="s">
        <v>587</v>
      </c>
      <c r="L866" t="s">
        <v>45</v>
      </c>
      <c r="AJ866" s="1">
        <v>41638</v>
      </c>
    </row>
    <row r="867" spans="1:36" ht="15">
      <c r="A867" t="str">
        <f t="shared" si="41"/>
        <v>540695151D</v>
      </c>
      <c r="B867" t="str">
        <f t="shared" si="39"/>
        <v>02406911202</v>
      </c>
      <c r="C867" t="s">
        <v>13</v>
      </c>
      <c r="D867" t="s">
        <v>37</v>
      </c>
      <c r="E867" t="s">
        <v>578</v>
      </c>
      <c r="F867" t="s">
        <v>89</v>
      </c>
      <c r="G867" t="str">
        <f>"03612120166"</f>
        <v>03612120166</v>
      </c>
      <c r="I867" t="s">
        <v>588</v>
      </c>
      <c r="L867" t="s">
        <v>45</v>
      </c>
      <c r="AJ867" s="1">
        <v>41638</v>
      </c>
    </row>
    <row r="868" spans="1:36" ht="15">
      <c r="A868" t="str">
        <f t="shared" si="41"/>
        <v>540695151D</v>
      </c>
      <c r="B868" t="str">
        <f t="shared" si="39"/>
        <v>02406911202</v>
      </c>
      <c r="C868" t="s">
        <v>13</v>
      </c>
      <c r="D868" t="s">
        <v>37</v>
      </c>
      <c r="E868" t="s">
        <v>578</v>
      </c>
      <c r="F868" t="s">
        <v>89</v>
      </c>
      <c r="G868" t="str">
        <f>"10687150150"</f>
        <v>10687150150</v>
      </c>
      <c r="I868" t="s">
        <v>589</v>
      </c>
      <c r="L868" t="s">
        <v>45</v>
      </c>
      <c r="AJ868" s="1">
        <v>41638</v>
      </c>
    </row>
    <row r="869" spans="1:36" ht="15">
      <c r="A869" t="str">
        <f t="shared" si="41"/>
        <v>540695151D</v>
      </c>
      <c r="B869" t="str">
        <f t="shared" si="39"/>
        <v>02406911202</v>
      </c>
      <c r="C869" t="s">
        <v>13</v>
      </c>
      <c r="D869" t="s">
        <v>37</v>
      </c>
      <c r="E869" t="s">
        <v>578</v>
      </c>
      <c r="F869" t="s">
        <v>89</v>
      </c>
      <c r="G869" t="str">
        <f>"07909700960"</f>
        <v>07909700960</v>
      </c>
      <c r="I869" t="s">
        <v>590</v>
      </c>
      <c r="L869" t="s">
        <v>45</v>
      </c>
      <c r="AJ869" s="1">
        <v>41638</v>
      </c>
    </row>
    <row r="870" spans="1:36" ht="15">
      <c r="A870" t="str">
        <f t="shared" si="41"/>
        <v>540695151D</v>
      </c>
      <c r="B870" t="str">
        <f t="shared" si="39"/>
        <v>02406911202</v>
      </c>
      <c r="C870" t="s">
        <v>13</v>
      </c>
      <c r="D870" t="s">
        <v>37</v>
      </c>
      <c r="E870" t="s">
        <v>578</v>
      </c>
      <c r="F870" t="s">
        <v>89</v>
      </c>
      <c r="G870" t="str">
        <f>"01122350380"</f>
        <v>01122350380</v>
      </c>
      <c r="I870" t="s">
        <v>163</v>
      </c>
      <c r="L870" t="s">
        <v>45</v>
      </c>
      <c r="AJ870" s="1">
        <v>41638</v>
      </c>
    </row>
    <row r="871" spans="1:36" ht="15">
      <c r="A871" t="str">
        <f t="shared" si="41"/>
        <v>540695151D</v>
      </c>
      <c r="B871" t="str">
        <f t="shared" si="39"/>
        <v>02406911202</v>
      </c>
      <c r="C871" t="s">
        <v>13</v>
      </c>
      <c r="D871" t="s">
        <v>37</v>
      </c>
      <c r="E871" t="s">
        <v>578</v>
      </c>
      <c r="F871" t="s">
        <v>89</v>
      </c>
      <c r="G871" t="str">
        <f>"01291370201"</f>
        <v>01291370201</v>
      </c>
      <c r="I871" t="s">
        <v>591</v>
      </c>
      <c r="L871" t="s">
        <v>45</v>
      </c>
      <c r="AJ871" s="1">
        <v>41638</v>
      </c>
    </row>
    <row r="872" spans="1:37" ht="15">
      <c r="A872" t="str">
        <f aca="true" t="shared" si="42" ref="A872:A886">"540699161F"</f>
        <v>540699161F</v>
      </c>
      <c r="B872" t="str">
        <f t="shared" si="39"/>
        <v>02406911202</v>
      </c>
      <c r="C872" t="s">
        <v>13</v>
      </c>
      <c r="D872" t="s">
        <v>37</v>
      </c>
      <c r="E872" t="s">
        <v>578</v>
      </c>
      <c r="F872" t="s">
        <v>89</v>
      </c>
      <c r="G872" t="str">
        <f>"01538451202"</f>
        <v>01538451202</v>
      </c>
      <c r="I872" t="s">
        <v>579</v>
      </c>
      <c r="L872" t="s">
        <v>45</v>
      </c>
      <c r="AJ872" s="1">
        <v>41638</v>
      </c>
      <c r="AK872" t="s">
        <v>592</v>
      </c>
    </row>
    <row r="873" spans="1:37" ht="15">
      <c r="A873" t="str">
        <f t="shared" si="42"/>
        <v>540699161F</v>
      </c>
      <c r="B873" t="str">
        <f t="shared" si="39"/>
        <v>02406911202</v>
      </c>
      <c r="C873" t="s">
        <v>13</v>
      </c>
      <c r="D873" t="s">
        <v>37</v>
      </c>
      <c r="E873" t="s">
        <v>578</v>
      </c>
      <c r="F873" t="s">
        <v>89</v>
      </c>
      <c r="G873" t="str">
        <f>"02129190373"</f>
        <v>02129190373</v>
      </c>
      <c r="I873" t="s">
        <v>157</v>
      </c>
      <c r="L873" t="s">
        <v>45</v>
      </c>
      <c r="AJ873" s="1">
        <v>41638</v>
      </c>
      <c r="AK873" t="s">
        <v>592</v>
      </c>
    </row>
    <row r="874" spans="1:37" ht="15">
      <c r="A874" t="str">
        <f t="shared" si="42"/>
        <v>540699161F</v>
      </c>
      <c r="B874" t="str">
        <f t="shared" si="39"/>
        <v>02406911202</v>
      </c>
      <c r="C874" t="s">
        <v>13</v>
      </c>
      <c r="D874" t="s">
        <v>37</v>
      </c>
      <c r="E874" t="s">
        <v>578</v>
      </c>
      <c r="F874" t="s">
        <v>89</v>
      </c>
      <c r="G874" t="str">
        <f>"11903230156"</f>
        <v>11903230156</v>
      </c>
      <c r="I874" t="s">
        <v>581</v>
      </c>
      <c r="L874" t="s">
        <v>45</v>
      </c>
      <c r="AJ874" s="1">
        <v>41638</v>
      </c>
      <c r="AK874" t="s">
        <v>592</v>
      </c>
    </row>
    <row r="875" spans="1:37" ht="15">
      <c r="A875" t="str">
        <f t="shared" si="42"/>
        <v>540699161F</v>
      </c>
      <c r="B875" t="str">
        <f t="shared" si="39"/>
        <v>02406911202</v>
      </c>
      <c r="C875" t="s">
        <v>13</v>
      </c>
      <c r="D875" t="s">
        <v>37</v>
      </c>
      <c r="E875" t="s">
        <v>578</v>
      </c>
      <c r="F875" t="s">
        <v>89</v>
      </c>
      <c r="G875" t="str">
        <f>"01857820284"</f>
        <v>01857820284</v>
      </c>
      <c r="I875" t="s">
        <v>582</v>
      </c>
      <c r="L875" t="s">
        <v>41</v>
      </c>
      <c r="M875">
        <v>28160.42</v>
      </c>
      <c r="AG875">
        <v>15127.44</v>
      </c>
      <c r="AH875" s="1">
        <v>41640</v>
      </c>
      <c r="AI875" s="1">
        <v>42369</v>
      </c>
      <c r="AJ875" s="1">
        <v>41638</v>
      </c>
      <c r="AK875" t="s">
        <v>592</v>
      </c>
    </row>
    <row r="876" spans="1:37" ht="15">
      <c r="A876" t="str">
        <f t="shared" si="42"/>
        <v>540699161F</v>
      </c>
      <c r="B876" t="str">
        <f t="shared" si="39"/>
        <v>02406911202</v>
      </c>
      <c r="C876" t="s">
        <v>13</v>
      </c>
      <c r="D876" t="s">
        <v>37</v>
      </c>
      <c r="E876" t="s">
        <v>578</v>
      </c>
      <c r="F876" t="s">
        <v>89</v>
      </c>
      <c r="G876" t="str">
        <f>"10748060018"</f>
        <v>10748060018</v>
      </c>
      <c r="I876" t="s">
        <v>583</v>
      </c>
      <c r="L876" t="s">
        <v>45</v>
      </c>
      <c r="AJ876" s="1">
        <v>41638</v>
      </c>
      <c r="AK876" t="s">
        <v>592</v>
      </c>
    </row>
    <row r="877" spans="1:37" ht="15">
      <c r="A877" t="str">
        <f t="shared" si="42"/>
        <v>540699161F</v>
      </c>
      <c r="B877" t="str">
        <f t="shared" si="39"/>
        <v>02406911202</v>
      </c>
      <c r="C877" t="s">
        <v>13</v>
      </c>
      <c r="D877" t="s">
        <v>37</v>
      </c>
      <c r="E877" t="s">
        <v>578</v>
      </c>
      <c r="F877" t="s">
        <v>89</v>
      </c>
      <c r="G877" t="str">
        <f>"01693020206"</f>
        <v>01693020206</v>
      </c>
      <c r="I877" t="s">
        <v>584</v>
      </c>
      <c r="L877" t="s">
        <v>45</v>
      </c>
      <c r="AJ877" s="1">
        <v>41638</v>
      </c>
      <c r="AK877" t="s">
        <v>592</v>
      </c>
    </row>
    <row r="878" spans="1:37" ht="15">
      <c r="A878" t="str">
        <f t="shared" si="42"/>
        <v>540699161F</v>
      </c>
      <c r="B878" t="str">
        <f t="shared" si="39"/>
        <v>02406911202</v>
      </c>
      <c r="C878" t="s">
        <v>13</v>
      </c>
      <c r="D878" t="s">
        <v>37</v>
      </c>
      <c r="E878" t="s">
        <v>578</v>
      </c>
      <c r="F878" t="s">
        <v>89</v>
      </c>
      <c r="G878" t="str">
        <f>"12384150152"</f>
        <v>12384150152</v>
      </c>
      <c r="I878" t="s">
        <v>585</v>
      </c>
      <c r="L878" t="s">
        <v>45</v>
      </c>
      <c r="AJ878" s="1">
        <v>41638</v>
      </c>
      <c r="AK878" t="s">
        <v>592</v>
      </c>
    </row>
    <row r="879" spans="1:37" ht="15">
      <c r="A879" t="str">
        <f t="shared" si="42"/>
        <v>540699161F</v>
      </c>
      <c r="B879" t="str">
        <f t="shared" si="39"/>
        <v>02406911202</v>
      </c>
      <c r="C879" t="s">
        <v>13</v>
      </c>
      <c r="D879" t="s">
        <v>37</v>
      </c>
      <c r="E879" t="s">
        <v>578</v>
      </c>
      <c r="F879" t="s">
        <v>89</v>
      </c>
      <c r="G879" t="str">
        <f>"08344720969"</f>
        <v>08344720969</v>
      </c>
      <c r="I879" t="s">
        <v>586</v>
      </c>
      <c r="L879" t="s">
        <v>45</v>
      </c>
      <c r="AJ879" s="1">
        <v>41638</v>
      </c>
      <c r="AK879" t="s">
        <v>592</v>
      </c>
    </row>
    <row r="880" spans="1:37" ht="15">
      <c r="A880" t="str">
        <f t="shared" si="42"/>
        <v>540699161F</v>
      </c>
      <c r="B880" t="str">
        <f t="shared" si="39"/>
        <v>02406911202</v>
      </c>
      <c r="C880" t="s">
        <v>13</v>
      </c>
      <c r="D880" t="s">
        <v>37</v>
      </c>
      <c r="E880" t="s">
        <v>578</v>
      </c>
      <c r="F880" t="s">
        <v>89</v>
      </c>
      <c r="G880" t="str">
        <f>"00228060349"</f>
        <v>00228060349</v>
      </c>
      <c r="I880" t="s">
        <v>47</v>
      </c>
      <c r="L880" t="s">
        <v>45</v>
      </c>
      <c r="AJ880" s="1">
        <v>41638</v>
      </c>
      <c r="AK880" t="s">
        <v>592</v>
      </c>
    </row>
    <row r="881" spans="1:37" ht="15">
      <c r="A881" t="str">
        <f t="shared" si="42"/>
        <v>540699161F</v>
      </c>
      <c r="B881" t="str">
        <f t="shared" si="39"/>
        <v>02406911202</v>
      </c>
      <c r="C881" t="s">
        <v>13</v>
      </c>
      <c r="D881" t="s">
        <v>37</v>
      </c>
      <c r="E881" t="s">
        <v>578</v>
      </c>
      <c r="F881" t="s">
        <v>89</v>
      </c>
      <c r="G881" t="str">
        <f>"02803471206"</f>
        <v>02803471206</v>
      </c>
      <c r="I881" t="s">
        <v>587</v>
      </c>
      <c r="L881" t="s">
        <v>45</v>
      </c>
      <c r="AJ881" s="1">
        <v>41638</v>
      </c>
      <c r="AK881" t="s">
        <v>592</v>
      </c>
    </row>
    <row r="882" spans="1:37" ht="15">
      <c r="A882" t="str">
        <f t="shared" si="42"/>
        <v>540699161F</v>
      </c>
      <c r="B882" t="str">
        <f t="shared" si="39"/>
        <v>02406911202</v>
      </c>
      <c r="C882" t="s">
        <v>13</v>
      </c>
      <c r="D882" t="s">
        <v>37</v>
      </c>
      <c r="E882" t="s">
        <v>578</v>
      </c>
      <c r="F882" t="s">
        <v>89</v>
      </c>
      <c r="G882" t="str">
        <f>"03612120166"</f>
        <v>03612120166</v>
      </c>
      <c r="I882" t="s">
        <v>588</v>
      </c>
      <c r="L882" t="s">
        <v>45</v>
      </c>
      <c r="AJ882" s="1">
        <v>41638</v>
      </c>
      <c r="AK882" t="s">
        <v>592</v>
      </c>
    </row>
    <row r="883" spans="1:37" ht="15">
      <c r="A883" t="str">
        <f t="shared" si="42"/>
        <v>540699161F</v>
      </c>
      <c r="B883" t="str">
        <f t="shared" si="39"/>
        <v>02406911202</v>
      </c>
      <c r="C883" t="s">
        <v>13</v>
      </c>
      <c r="D883" t="s">
        <v>37</v>
      </c>
      <c r="E883" t="s">
        <v>578</v>
      </c>
      <c r="F883" t="s">
        <v>89</v>
      </c>
      <c r="G883" t="str">
        <f>"10687150150"</f>
        <v>10687150150</v>
      </c>
      <c r="I883" t="s">
        <v>589</v>
      </c>
      <c r="L883" t="s">
        <v>45</v>
      </c>
      <c r="AJ883" s="1">
        <v>41638</v>
      </c>
      <c r="AK883" t="s">
        <v>592</v>
      </c>
    </row>
    <row r="884" spans="1:37" ht="15">
      <c r="A884" t="str">
        <f t="shared" si="42"/>
        <v>540699161F</v>
      </c>
      <c r="B884" t="str">
        <f t="shared" si="39"/>
        <v>02406911202</v>
      </c>
      <c r="C884" t="s">
        <v>13</v>
      </c>
      <c r="D884" t="s">
        <v>37</v>
      </c>
      <c r="E884" t="s">
        <v>578</v>
      </c>
      <c r="F884" t="s">
        <v>89</v>
      </c>
      <c r="G884" t="str">
        <f>"07909700960"</f>
        <v>07909700960</v>
      </c>
      <c r="I884" t="s">
        <v>590</v>
      </c>
      <c r="L884" t="s">
        <v>45</v>
      </c>
      <c r="AJ884" s="1">
        <v>41638</v>
      </c>
      <c r="AK884" t="s">
        <v>592</v>
      </c>
    </row>
    <row r="885" spans="1:37" ht="15">
      <c r="A885" t="str">
        <f t="shared" si="42"/>
        <v>540699161F</v>
      </c>
      <c r="B885" t="str">
        <f t="shared" si="39"/>
        <v>02406911202</v>
      </c>
      <c r="C885" t="s">
        <v>13</v>
      </c>
      <c r="D885" t="s">
        <v>37</v>
      </c>
      <c r="E885" t="s">
        <v>578</v>
      </c>
      <c r="F885" t="s">
        <v>89</v>
      </c>
      <c r="G885" t="str">
        <f>"01122350380"</f>
        <v>01122350380</v>
      </c>
      <c r="I885" t="s">
        <v>163</v>
      </c>
      <c r="L885" t="s">
        <v>45</v>
      </c>
      <c r="AJ885" s="1">
        <v>41638</v>
      </c>
      <c r="AK885" t="s">
        <v>592</v>
      </c>
    </row>
    <row r="886" spans="1:37" ht="15">
      <c r="A886" t="str">
        <f t="shared" si="42"/>
        <v>540699161F</v>
      </c>
      <c r="B886" t="str">
        <f t="shared" si="39"/>
        <v>02406911202</v>
      </c>
      <c r="C886" t="s">
        <v>13</v>
      </c>
      <c r="D886" t="s">
        <v>37</v>
      </c>
      <c r="E886" t="s">
        <v>578</v>
      </c>
      <c r="F886" t="s">
        <v>89</v>
      </c>
      <c r="G886" t="str">
        <f>"01291370201"</f>
        <v>01291370201</v>
      </c>
      <c r="I886" t="s">
        <v>591</v>
      </c>
      <c r="L886" t="s">
        <v>45</v>
      </c>
      <c r="AJ886" s="1">
        <v>41638</v>
      </c>
      <c r="AK886" t="s">
        <v>592</v>
      </c>
    </row>
    <row r="887" spans="1:37" ht="15">
      <c r="A887" t="str">
        <f aca="true" t="shared" si="43" ref="A887:A901">"5407013846"</f>
        <v>5407013846</v>
      </c>
      <c r="B887" t="str">
        <f t="shared" si="39"/>
        <v>02406911202</v>
      </c>
      <c r="C887" t="s">
        <v>13</v>
      </c>
      <c r="D887" t="s">
        <v>37</v>
      </c>
      <c r="E887" t="s">
        <v>578</v>
      </c>
      <c r="F887" t="s">
        <v>89</v>
      </c>
      <c r="G887" t="str">
        <f>"01538451202"</f>
        <v>01538451202</v>
      </c>
      <c r="I887" t="s">
        <v>579</v>
      </c>
      <c r="L887" t="s">
        <v>45</v>
      </c>
      <c r="AJ887" s="1">
        <v>41638</v>
      </c>
      <c r="AK887" t="s">
        <v>593</v>
      </c>
    </row>
    <row r="888" spans="1:37" ht="15">
      <c r="A888" t="str">
        <f t="shared" si="43"/>
        <v>5407013846</v>
      </c>
      <c r="B888" t="str">
        <f t="shared" si="39"/>
        <v>02406911202</v>
      </c>
      <c r="C888" t="s">
        <v>13</v>
      </c>
      <c r="D888" t="s">
        <v>37</v>
      </c>
      <c r="E888" t="s">
        <v>578</v>
      </c>
      <c r="F888" t="s">
        <v>89</v>
      </c>
      <c r="G888" t="str">
        <f>"02129190373"</f>
        <v>02129190373</v>
      </c>
      <c r="I888" t="s">
        <v>157</v>
      </c>
      <c r="L888" t="s">
        <v>45</v>
      </c>
      <c r="AJ888" s="1">
        <v>41638</v>
      </c>
      <c r="AK888" t="s">
        <v>593</v>
      </c>
    </row>
    <row r="889" spans="1:37" ht="15">
      <c r="A889" t="str">
        <f t="shared" si="43"/>
        <v>5407013846</v>
      </c>
      <c r="B889" t="str">
        <f t="shared" si="39"/>
        <v>02406911202</v>
      </c>
      <c r="C889" t="s">
        <v>13</v>
      </c>
      <c r="D889" t="s">
        <v>37</v>
      </c>
      <c r="E889" t="s">
        <v>578</v>
      </c>
      <c r="F889" t="s">
        <v>89</v>
      </c>
      <c r="G889" t="str">
        <f>"11903230156"</f>
        <v>11903230156</v>
      </c>
      <c r="I889" t="s">
        <v>581</v>
      </c>
      <c r="L889" t="s">
        <v>45</v>
      </c>
      <c r="AJ889" s="1">
        <v>41638</v>
      </c>
      <c r="AK889" t="s">
        <v>593</v>
      </c>
    </row>
    <row r="890" spans="1:37" ht="15">
      <c r="A890" t="str">
        <f t="shared" si="43"/>
        <v>5407013846</v>
      </c>
      <c r="B890" t="str">
        <f t="shared" si="39"/>
        <v>02406911202</v>
      </c>
      <c r="C890" t="s">
        <v>13</v>
      </c>
      <c r="D890" t="s">
        <v>37</v>
      </c>
      <c r="E890" t="s">
        <v>578</v>
      </c>
      <c r="F890" t="s">
        <v>89</v>
      </c>
      <c r="G890" t="str">
        <f>"01857820284"</f>
        <v>01857820284</v>
      </c>
      <c r="I890" t="s">
        <v>582</v>
      </c>
      <c r="L890" t="s">
        <v>45</v>
      </c>
      <c r="AJ890" s="1">
        <v>41638</v>
      </c>
      <c r="AK890" t="s">
        <v>593</v>
      </c>
    </row>
    <row r="891" spans="1:37" ht="15">
      <c r="A891" t="str">
        <f t="shared" si="43"/>
        <v>5407013846</v>
      </c>
      <c r="B891" t="str">
        <f t="shared" si="39"/>
        <v>02406911202</v>
      </c>
      <c r="C891" t="s">
        <v>13</v>
      </c>
      <c r="D891" t="s">
        <v>37</v>
      </c>
      <c r="E891" t="s">
        <v>578</v>
      </c>
      <c r="F891" t="s">
        <v>89</v>
      </c>
      <c r="G891" t="str">
        <f>"10748060018"</f>
        <v>10748060018</v>
      </c>
      <c r="I891" t="s">
        <v>583</v>
      </c>
      <c r="L891" t="s">
        <v>45</v>
      </c>
      <c r="AJ891" s="1">
        <v>41638</v>
      </c>
      <c r="AK891" t="s">
        <v>593</v>
      </c>
    </row>
    <row r="892" spans="1:37" ht="15">
      <c r="A892" t="str">
        <f t="shared" si="43"/>
        <v>5407013846</v>
      </c>
      <c r="B892" t="str">
        <f t="shared" si="39"/>
        <v>02406911202</v>
      </c>
      <c r="C892" t="s">
        <v>13</v>
      </c>
      <c r="D892" t="s">
        <v>37</v>
      </c>
      <c r="E892" t="s">
        <v>578</v>
      </c>
      <c r="F892" t="s">
        <v>89</v>
      </c>
      <c r="G892" t="str">
        <f>"01693020206"</f>
        <v>01693020206</v>
      </c>
      <c r="I892" t="s">
        <v>584</v>
      </c>
      <c r="L892" t="s">
        <v>45</v>
      </c>
      <c r="AJ892" s="1">
        <v>41638</v>
      </c>
      <c r="AK892" t="s">
        <v>593</v>
      </c>
    </row>
    <row r="893" spans="1:37" ht="15">
      <c r="A893" t="str">
        <f t="shared" si="43"/>
        <v>5407013846</v>
      </c>
      <c r="B893" t="str">
        <f t="shared" si="39"/>
        <v>02406911202</v>
      </c>
      <c r="C893" t="s">
        <v>13</v>
      </c>
      <c r="D893" t="s">
        <v>37</v>
      </c>
      <c r="E893" t="s">
        <v>578</v>
      </c>
      <c r="F893" t="s">
        <v>89</v>
      </c>
      <c r="G893" t="str">
        <f>"12384150152"</f>
        <v>12384150152</v>
      </c>
      <c r="I893" t="s">
        <v>585</v>
      </c>
      <c r="L893" t="s">
        <v>45</v>
      </c>
      <c r="AJ893" s="1">
        <v>41638</v>
      </c>
      <c r="AK893" t="s">
        <v>593</v>
      </c>
    </row>
    <row r="894" spans="1:37" ht="15">
      <c r="A894" t="str">
        <f t="shared" si="43"/>
        <v>5407013846</v>
      </c>
      <c r="B894" t="str">
        <f t="shared" si="39"/>
        <v>02406911202</v>
      </c>
      <c r="C894" t="s">
        <v>13</v>
      </c>
      <c r="D894" t="s">
        <v>37</v>
      </c>
      <c r="E894" t="s">
        <v>578</v>
      </c>
      <c r="F894" t="s">
        <v>89</v>
      </c>
      <c r="G894" t="str">
        <f>"08344720969"</f>
        <v>08344720969</v>
      </c>
      <c r="I894" t="s">
        <v>586</v>
      </c>
      <c r="L894" t="s">
        <v>45</v>
      </c>
      <c r="AJ894" s="1">
        <v>41638</v>
      </c>
      <c r="AK894" t="s">
        <v>593</v>
      </c>
    </row>
    <row r="895" spans="1:37" ht="15">
      <c r="A895" t="str">
        <f t="shared" si="43"/>
        <v>5407013846</v>
      </c>
      <c r="B895" t="str">
        <f t="shared" si="39"/>
        <v>02406911202</v>
      </c>
      <c r="C895" t="s">
        <v>13</v>
      </c>
      <c r="D895" t="s">
        <v>37</v>
      </c>
      <c r="E895" t="s">
        <v>578</v>
      </c>
      <c r="F895" t="s">
        <v>89</v>
      </c>
      <c r="G895" t="str">
        <f>"00228060349"</f>
        <v>00228060349</v>
      </c>
      <c r="I895" t="s">
        <v>47</v>
      </c>
      <c r="L895" t="s">
        <v>45</v>
      </c>
      <c r="AJ895" s="1">
        <v>41638</v>
      </c>
      <c r="AK895" t="s">
        <v>593</v>
      </c>
    </row>
    <row r="896" spans="1:37" ht="15">
      <c r="A896" t="str">
        <f t="shared" si="43"/>
        <v>5407013846</v>
      </c>
      <c r="B896" t="str">
        <f t="shared" si="39"/>
        <v>02406911202</v>
      </c>
      <c r="C896" t="s">
        <v>13</v>
      </c>
      <c r="D896" t="s">
        <v>37</v>
      </c>
      <c r="E896" t="s">
        <v>578</v>
      </c>
      <c r="F896" t="s">
        <v>89</v>
      </c>
      <c r="G896" t="str">
        <f>"02803471206"</f>
        <v>02803471206</v>
      </c>
      <c r="I896" t="s">
        <v>587</v>
      </c>
      <c r="L896" t="s">
        <v>41</v>
      </c>
      <c r="M896">
        <v>5845.83</v>
      </c>
      <c r="AG896">
        <v>4140</v>
      </c>
      <c r="AH896" s="1">
        <v>41640</v>
      </c>
      <c r="AI896" s="1">
        <v>42369</v>
      </c>
      <c r="AJ896" s="1">
        <v>41638</v>
      </c>
      <c r="AK896" t="s">
        <v>593</v>
      </c>
    </row>
    <row r="897" spans="1:37" ht="15">
      <c r="A897" t="str">
        <f t="shared" si="43"/>
        <v>5407013846</v>
      </c>
      <c r="B897" t="str">
        <f t="shared" si="39"/>
        <v>02406911202</v>
      </c>
      <c r="C897" t="s">
        <v>13</v>
      </c>
      <c r="D897" t="s">
        <v>37</v>
      </c>
      <c r="E897" t="s">
        <v>578</v>
      </c>
      <c r="F897" t="s">
        <v>89</v>
      </c>
      <c r="G897" t="str">
        <f>"03612120166"</f>
        <v>03612120166</v>
      </c>
      <c r="I897" t="s">
        <v>588</v>
      </c>
      <c r="L897" t="s">
        <v>45</v>
      </c>
      <c r="AJ897" s="1">
        <v>41638</v>
      </c>
      <c r="AK897" t="s">
        <v>593</v>
      </c>
    </row>
    <row r="898" spans="1:37" ht="15">
      <c r="A898" t="str">
        <f t="shared" si="43"/>
        <v>5407013846</v>
      </c>
      <c r="B898" t="str">
        <f aca="true" t="shared" si="44" ref="B898:B961">"02406911202"</f>
        <v>02406911202</v>
      </c>
      <c r="C898" t="s">
        <v>13</v>
      </c>
      <c r="D898" t="s">
        <v>37</v>
      </c>
      <c r="E898" t="s">
        <v>578</v>
      </c>
      <c r="F898" t="s">
        <v>89</v>
      </c>
      <c r="G898" t="str">
        <f>"10687150150"</f>
        <v>10687150150</v>
      </c>
      <c r="I898" t="s">
        <v>589</v>
      </c>
      <c r="L898" t="s">
        <v>45</v>
      </c>
      <c r="AJ898" s="1">
        <v>41638</v>
      </c>
      <c r="AK898" t="s">
        <v>593</v>
      </c>
    </row>
    <row r="899" spans="1:37" ht="15">
      <c r="A899" t="str">
        <f t="shared" si="43"/>
        <v>5407013846</v>
      </c>
      <c r="B899" t="str">
        <f t="shared" si="44"/>
        <v>02406911202</v>
      </c>
      <c r="C899" t="s">
        <v>13</v>
      </c>
      <c r="D899" t="s">
        <v>37</v>
      </c>
      <c r="E899" t="s">
        <v>578</v>
      </c>
      <c r="F899" t="s">
        <v>89</v>
      </c>
      <c r="G899" t="str">
        <f>"07909700960"</f>
        <v>07909700960</v>
      </c>
      <c r="I899" t="s">
        <v>590</v>
      </c>
      <c r="L899" t="s">
        <v>45</v>
      </c>
      <c r="AJ899" s="1">
        <v>41638</v>
      </c>
      <c r="AK899" t="s">
        <v>593</v>
      </c>
    </row>
    <row r="900" spans="1:37" ht="15">
      <c r="A900" t="str">
        <f t="shared" si="43"/>
        <v>5407013846</v>
      </c>
      <c r="B900" t="str">
        <f t="shared" si="44"/>
        <v>02406911202</v>
      </c>
      <c r="C900" t="s">
        <v>13</v>
      </c>
      <c r="D900" t="s">
        <v>37</v>
      </c>
      <c r="E900" t="s">
        <v>578</v>
      </c>
      <c r="F900" t="s">
        <v>89</v>
      </c>
      <c r="G900" t="str">
        <f>"01122350380"</f>
        <v>01122350380</v>
      </c>
      <c r="I900" t="s">
        <v>163</v>
      </c>
      <c r="L900" t="s">
        <v>45</v>
      </c>
      <c r="AJ900" s="1">
        <v>41638</v>
      </c>
      <c r="AK900" t="s">
        <v>593</v>
      </c>
    </row>
    <row r="901" spans="1:37" ht="15">
      <c r="A901" t="str">
        <f t="shared" si="43"/>
        <v>5407013846</v>
      </c>
      <c r="B901" t="str">
        <f t="shared" si="44"/>
        <v>02406911202</v>
      </c>
      <c r="C901" t="s">
        <v>13</v>
      </c>
      <c r="D901" t="s">
        <v>37</v>
      </c>
      <c r="E901" t="s">
        <v>578</v>
      </c>
      <c r="F901" t="s">
        <v>89</v>
      </c>
      <c r="G901" t="str">
        <f>"01291370201"</f>
        <v>01291370201</v>
      </c>
      <c r="I901" t="s">
        <v>591</v>
      </c>
      <c r="L901" t="s">
        <v>45</v>
      </c>
      <c r="AJ901" s="1">
        <v>41638</v>
      </c>
      <c r="AK901" t="s">
        <v>593</v>
      </c>
    </row>
    <row r="902" spans="1:36" ht="15">
      <c r="A902" t="str">
        <f>"5411380C08"</f>
        <v>5411380C08</v>
      </c>
      <c r="B902" t="str">
        <f t="shared" si="44"/>
        <v>02406911202</v>
      </c>
      <c r="C902" t="s">
        <v>13</v>
      </c>
      <c r="D902" t="s">
        <v>37</v>
      </c>
      <c r="E902" t="s">
        <v>594</v>
      </c>
      <c r="F902" t="s">
        <v>39</v>
      </c>
      <c r="G902" t="str">
        <f>"01519180200"</f>
        <v>01519180200</v>
      </c>
      <c r="I902" t="s">
        <v>595</v>
      </c>
      <c r="L902" t="s">
        <v>41</v>
      </c>
      <c r="M902">
        <v>32787</v>
      </c>
      <c r="AG902">
        <v>32371.55</v>
      </c>
      <c r="AH902" s="1">
        <v>41589</v>
      </c>
      <c r="AI902" s="1">
        <v>42684</v>
      </c>
      <c r="AJ902" s="1">
        <v>41638</v>
      </c>
    </row>
    <row r="903" spans="1:36" ht="15">
      <c r="A903" t="str">
        <f>"540757473A"</f>
        <v>540757473A</v>
      </c>
      <c r="B903" t="str">
        <f t="shared" si="44"/>
        <v>02406911202</v>
      </c>
      <c r="C903" t="s">
        <v>13</v>
      </c>
      <c r="D903" t="s">
        <v>37</v>
      </c>
      <c r="E903" t="s">
        <v>596</v>
      </c>
      <c r="F903" t="s">
        <v>86</v>
      </c>
      <c r="G903" t="str">
        <f>"06862080154"</f>
        <v>06862080154</v>
      </c>
      <c r="I903" t="s">
        <v>597</v>
      </c>
      <c r="L903" t="s">
        <v>41</v>
      </c>
      <c r="M903">
        <v>8950</v>
      </c>
      <c r="AG903">
        <v>11188</v>
      </c>
      <c r="AH903" s="1">
        <v>41609</v>
      </c>
      <c r="AI903" s="1">
        <v>41973</v>
      </c>
      <c r="AJ903" s="1">
        <v>41638</v>
      </c>
    </row>
    <row r="904" spans="1:36" ht="15">
      <c r="A904" t="str">
        <f>"5346301327"</f>
        <v>5346301327</v>
      </c>
      <c r="B904" t="str">
        <f t="shared" si="44"/>
        <v>02406911202</v>
      </c>
      <c r="C904" t="s">
        <v>13</v>
      </c>
      <c r="D904" t="s">
        <v>37</v>
      </c>
      <c r="E904" t="s">
        <v>598</v>
      </c>
      <c r="F904" t="s">
        <v>86</v>
      </c>
      <c r="G904" t="str">
        <f>"07931650589"</f>
        <v>07931650589</v>
      </c>
      <c r="I904" t="s">
        <v>129</v>
      </c>
      <c r="L904" t="s">
        <v>41</v>
      </c>
      <c r="M904">
        <v>52700</v>
      </c>
      <c r="AG904">
        <v>69775</v>
      </c>
      <c r="AH904" s="1">
        <v>41584</v>
      </c>
      <c r="AI904" s="1">
        <v>42313</v>
      </c>
      <c r="AJ904" s="1">
        <v>41638</v>
      </c>
    </row>
    <row r="905" spans="1:36" ht="15">
      <c r="A905" t="str">
        <f aca="true" t="shared" si="45" ref="A905:A912">"5416649827"</f>
        <v>5416649827</v>
      </c>
      <c r="B905" t="str">
        <f t="shared" si="44"/>
        <v>02406911202</v>
      </c>
      <c r="C905" t="s">
        <v>13</v>
      </c>
      <c r="D905" t="s">
        <v>37</v>
      </c>
      <c r="E905" t="s">
        <v>599</v>
      </c>
      <c r="F905" t="s">
        <v>89</v>
      </c>
      <c r="G905" t="str">
        <f>"01434070155"</f>
        <v>01434070155</v>
      </c>
      <c r="I905" t="s">
        <v>600</v>
      </c>
      <c r="L905" t="s">
        <v>45</v>
      </c>
      <c r="AJ905" s="1">
        <v>41638</v>
      </c>
    </row>
    <row r="906" spans="1:36" ht="15">
      <c r="A906" t="str">
        <f t="shared" si="45"/>
        <v>5416649827</v>
      </c>
      <c r="B906" t="str">
        <f t="shared" si="44"/>
        <v>02406911202</v>
      </c>
      <c r="C906" t="s">
        <v>13</v>
      </c>
      <c r="D906" t="s">
        <v>37</v>
      </c>
      <c r="E906" t="s">
        <v>599</v>
      </c>
      <c r="F906" t="s">
        <v>89</v>
      </c>
      <c r="G906" t="str">
        <f>"03717020964"</f>
        <v>03717020964</v>
      </c>
      <c r="I906" t="s">
        <v>601</v>
      </c>
      <c r="L906" t="s">
        <v>45</v>
      </c>
      <c r="AJ906" s="1">
        <v>41638</v>
      </c>
    </row>
    <row r="907" spans="1:36" ht="15">
      <c r="A907" t="str">
        <f t="shared" si="45"/>
        <v>5416649827</v>
      </c>
      <c r="B907" t="str">
        <f t="shared" si="44"/>
        <v>02406911202</v>
      </c>
      <c r="C907" t="s">
        <v>13</v>
      </c>
      <c r="D907" t="s">
        <v>37</v>
      </c>
      <c r="E907" t="s">
        <v>599</v>
      </c>
      <c r="F907" t="s">
        <v>89</v>
      </c>
      <c r="G907" t="str">
        <f>"03277950287"</f>
        <v>03277950287</v>
      </c>
      <c r="I907" t="s">
        <v>185</v>
      </c>
      <c r="L907" t="s">
        <v>45</v>
      </c>
      <c r="AJ907" s="1">
        <v>41638</v>
      </c>
    </row>
    <row r="908" spans="1:36" ht="15">
      <c r="A908" t="str">
        <f t="shared" si="45"/>
        <v>5416649827</v>
      </c>
      <c r="B908" t="str">
        <f t="shared" si="44"/>
        <v>02406911202</v>
      </c>
      <c r="C908" t="s">
        <v>13</v>
      </c>
      <c r="D908" t="s">
        <v>37</v>
      </c>
      <c r="E908" t="s">
        <v>599</v>
      </c>
      <c r="F908" t="s">
        <v>89</v>
      </c>
      <c r="G908" t="str">
        <f>"08960270158"</f>
        <v>08960270158</v>
      </c>
      <c r="I908" t="s">
        <v>602</v>
      </c>
      <c r="L908" t="s">
        <v>45</v>
      </c>
      <c r="AJ908" s="1">
        <v>41638</v>
      </c>
    </row>
    <row r="909" spans="1:36" ht="15">
      <c r="A909" t="str">
        <f t="shared" si="45"/>
        <v>5416649827</v>
      </c>
      <c r="B909" t="str">
        <f t="shared" si="44"/>
        <v>02406911202</v>
      </c>
      <c r="C909" t="s">
        <v>13</v>
      </c>
      <c r="D909" t="s">
        <v>37</v>
      </c>
      <c r="E909" t="s">
        <v>599</v>
      </c>
      <c r="F909" t="s">
        <v>89</v>
      </c>
      <c r="G909" t="str">
        <f>"02252720368"</f>
        <v>02252720368</v>
      </c>
      <c r="I909" t="s">
        <v>603</v>
      </c>
      <c r="L909" t="s">
        <v>41</v>
      </c>
      <c r="M909">
        <v>1606</v>
      </c>
      <c r="AG909">
        <v>5606.16</v>
      </c>
      <c r="AH909" s="1">
        <v>41624</v>
      </c>
      <c r="AI909" s="1">
        <v>41639</v>
      </c>
      <c r="AJ909" s="1">
        <v>41638</v>
      </c>
    </row>
    <row r="910" spans="1:36" ht="15">
      <c r="A910" t="str">
        <f t="shared" si="45"/>
        <v>5416649827</v>
      </c>
      <c r="B910" t="str">
        <f t="shared" si="44"/>
        <v>02406911202</v>
      </c>
      <c r="C910" t="s">
        <v>13</v>
      </c>
      <c r="D910" t="s">
        <v>37</v>
      </c>
      <c r="E910" t="s">
        <v>599</v>
      </c>
      <c r="F910" t="s">
        <v>89</v>
      </c>
      <c r="G910" t="str">
        <f>"00227010139"</f>
        <v>00227010139</v>
      </c>
      <c r="I910" t="s">
        <v>335</v>
      </c>
      <c r="L910" t="s">
        <v>45</v>
      </c>
      <c r="AJ910" s="1">
        <v>41638</v>
      </c>
    </row>
    <row r="911" spans="1:36" ht="15">
      <c r="A911" t="str">
        <f t="shared" si="45"/>
        <v>5416649827</v>
      </c>
      <c r="B911" t="str">
        <f t="shared" si="44"/>
        <v>02406911202</v>
      </c>
      <c r="C911" t="s">
        <v>13</v>
      </c>
      <c r="D911" t="s">
        <v>37</v>
      </c>
      <c r="E911" t="s">
        <v>599</v>
      </c>
      <c r="F911" t="s">
        <v>89</v>
      </c>
      <c r="G911" t="str">
        <f>"11578000157"</f>
        <v>11578000157</v>
      </c>
      <c r="I911" t="s">
        <v>604</v>
      </c>
      <c r="L911" t="s">
        <v>45</v>
      </c>
      <c r="AJ911" s="1">
        <v>41638</v>
      </c>
    </row>
    <row r="912" spans="1:36" ht="15">
      <c r="A912" t="str">
        <f t="shared" si="45"/>
        <v>5416649827</v>
      </c>
      <c r="B912" t="str">
        <f t="shared" si="44"/>
        <v>02406911202</v>
      </c>
      <c r="C912" t="s">
        <v>13</v>
      </c>
      <c r="D912" t="s">
        <v>37</v>
      </c>
      <c r="E912" t="s">
        <v>599</v>
      </c>
      <c r="F912" t="s">
        <v>89</v>
      </c>
      <c r="G912" t="str">
        <f>"01538440205"</f>
        <v>01538440205</v>
      </c>
      <c r="I912" t="s">
        <v>605</v>
      </c>
      <c r="L912" t="s">
        <v>45</v>
      </c>
      <c r="AJ912" s="1">
        <v>41638</v>
      </c>
    </row>
    <row r="913" spans="1:36" ht="15">
      <c r="A913" t="str">
        <f>"Z110C4D1F8"</f>
        <v>Z110C4D1F8</v>
      </c>
      <c r="B913" t="str">
        <f t="shared" si="44"/>
        <v>02406911202</v>
      </c>
      <c r="C913" t="s">
        <v>13</v>
      </c>
      <c r="D913" t="s">
        <v>37</v>
      </c>
      <c r="E913" t="s">
        <v>606</v>
      </c>
      <c r="F913" t="s">
        <v>39</v>
      </c>
      <c r="G913" t="str">
        <f>"02879890982"</f>
        <v>02879890982</v>
      </c>
      <c r="I913" t="s">
        <v>607</v>
      </c>
      <c r="L913" t="s">
        <v>41</v>
      </c>
      <c r="M913">
        <v>18902.2</v>
      </c>
      <c r="AG913">
        <v>18902.2</v>
      </c>
      <c r="AH913" s="1">
        <v>41589</v>
      </c>
      <c r="AI913" s="1">
        <v>41670</v>
      </c>
      <c r="AJ913" s="1">
        <v>41638</v>
      </c>
    </row>
    <row r="914" spans="1:36" ht="15">
      <c r="A914" t="str">
        <f aca="true" t="shared" si="46" ref="A914:A920">"543462064B"</f>
        <v>543462064B</v>
      </c>
      <c r="B914" t="str">
        <f t="shared" si="44"/>
        <v>02406911202</v>
      </c>
      <c r="C914" t="s">
        <v>13</v>
      </c>
      <c r="D914" t="s">
        <v>37</v>
      </c>
      <c r="E914" t="s">
        <v>608</v>
      </c>
      <c r="F914" t="s">
        <v>89</v>
      </c>
      <c r="G914" t="str">
        <f>"00674840152"</f>
        <v>00674840152</v>
      </c>
      <c r="I914" t="s">
        <v>171</v>
      </c>
      <c r="L914" t="s">
        <v>45</v>
      </c>
      <c r="AJ914" s="1">
        <v>41638</v>
      </c>
    </row>
    <row r="915" spans="1:36" ht="15">
      <c r="A915" t="str">
        <f t="shared" si="46"/>
        <v>543462064B</v>
      </c>
      <c r="B915" t="str">
        <f t="shared" si="44"/>
        <v>02406911202</v>
      </c>
      <c r="C915" t="s">
        <v>13</v>
      </c>
      <c r="D915" t="s">
        <v>37</v>
      </c>
      <c r="E915" t="s">
        <v>608</v>
      </c>
      <c r="F915" t="s">
        <v>89</v>
      </c>
      <c r="G915" t="str">
        <f>"01059590107"</f>
        <v>01059590107</v>
      </c>
      <c r="I915" t="s">
        <v>91</v>
      </c>
      <c r="L915" t="s">
        <v>45</v>
      </c>
      <c r="AJ915" s="1">
        <v>41638</v>
      </c>
    </row>
    <row r="916" spans="1:36" ht="15">
      <c r="A916" t="str">
        <f t="shared" si="46"/>
        <v>543462064B</v>
      </c>
      <c r="B916" t="str">
        <f t="shared" si="44"/>
        <v>02406911202</v>
      </c>
      <c r="C916" t="s">
        <v>13</v>
      </c>
      <c r="D916" t="s">
        <v>37</v>
      </c>
      <c r="E916" t="s">
        <v>608</v>
      </c>
      <c r="F916" t="s">
        <v>89</v>
      </c>
      <c r="G916" t="str">
        <f>"08641790152"</f>
        <v>08641790152</v>
      </c>
      <c r="I916" t="s">
        <v>114</v>
      </c>
      <c r="L916" t="s">
        <v>45</v>
      </c>
      <c r="AJ916" s="1">
        <v>41638</v>
      </c>
    </row>
    <row r="917" spans="1:36" ht="15">
      <c r="A917" t="str">
        <f t="shared" si="46"/>
        <v>543462064B</v>
      </c>
      <c r="B917" t="str">
        <f t="shared" si="44"/>
        <v>02406911202</v>
      </c>
      <c r="C917" t="s">
        <v>13</v>
      </c>
      <c r="D917" t="s">
        <v>37</v>
      </c>
      <c r="E917" t="s">
        <v>608</v>
      </c>
      <c r="F917" t="s">
        <v>89</v>
      </c>
      <c r="G917" t="str">
        <f>"03362950960"</f>
        <v>03362950960</v>
      </c>
      <c r="I917" t="s">
        <v>609</v>
      </c>
      <c r="L917" t="s">
        <v>45</v>
      </c>
      <c r="AJ917" s="1">
        <v>41638</v>
      </c>
    </row>
    <row r="918" spans="1:36" ht="15">
      <c r="A918" t="str">
        <f t="shared" si="46"/>
        <v>543462064B</v>
      </c>
      <c r="B918" t="str">
        <f t="shared" si="44"/>
        <v>02406911202</v>
      </c>
      <c r="C918" t="s">
        <v>13</v>
      </c>
      <c r="D918" t="s">
        <v>37</v>
      </c>
      <c r="E918" t="s">
        <v>608</v>
      </c>
      <c r="F918" t="s">
        <v>89</v>
      </c>
      <c r="G918" t="str">
        <f>"03663500969"</f>
        <v>03663500969</v>
      </c>
      <c r="I918" t="s">
        <v>46</v>
      </c>
      <c r="L918" t="s">
        <v>45</v>
      </c>
      <c r="AJ918" s="1">
        <v>41638</v>
      </c>
    </row>
    <row r="919" spans="1:36" ht="15">
      <c r="A919" t="str">
        <f t="shared" si="46"/>
        <v>543462064B</v>
      </c>
      <c r="B919" t="str">
        <f t="shared" si="44"/>
        <v>02406911202</v>
      </c>
      <c r="C919" t="s">
        <v>13</v>
      </c>
      <c r="D919" t="s">
        <v>37</v>
      </c>
      <c r="E919" t="s">
        <v>608</v>
      </c>
      <c r="F919" t="s">
        <v>89</v>
      </c>
      <c r="G919" t="str">
        <f>"00615700374"</f>
        <v>00615700374</v>
      </c>
      <c r="I919" t="s">
        <v>172</v>
      </c>
      <c r="L919" t="s">
        <v>45</v>
      </c>
      <c r="AJ919" s="1">
        <v>41638</v>
      </c>
    </row>
    <row r="920" spans="1:36" ht="15">
      <c r="A920" t="str">
        <f t="shared" si="46"/>
        <v>543462064B</v>
      </c>
      <c r="B920" t="str">
        <f t="shared" si="44"/>
        <v>02406911202</v>
      </c>
      <c r="C920" t="s">
        <v>13</v>
      </c>
      <c r="D920" t="s">
        <v>37</v>
      </c>
      <c r="E920" t="s">
        <v>608</v>
      </c>
      <c r="F920" t="s">
        <v>89</v>
      </c>
      <c r="G920" t="str">
        <f>"10127601002"</f>
        <v>10127601002</v>
      </c>
      <c r="I920" t="s">
        <v>610</v>
      </c>
      <c r="L920" t="s">
        <v>41</v>
      </c>
      <c r="M920">
        <v>26160</v>
      </c>
      <c r="AG920">
        <v>33536.8</v>
      </c>
      <c r="AH920" s="1">
        <v>41589</v>
      </c>
      <c r="AI920" s="1">
        <v>43049</v>
      </c>
      <c r="AJ920" s="1">
        <v>41638</v>
      </c>
    </row>
    <row r="921" spans="1:36" ht="15">
      <c r="A921" t="str">
        <f>"5382665BAA"</f>
        <v>5382665BAA</v>
      </c>
      <c r="B921" t="str">
        <f t="shared" si="44"/>
        <v>02406911202</v>
      </c>
      <c r="C921" t="s">
        <v>13</v>
      </c>
      <c r="D921" t="s">
        <v>37</v>
      </c>
      <c r="E921" t="s">
        <v>611</v>
      </c>
      <c r="F921" t="s">
        <v>86</v>
      </c>
      <c r="G921" t="str">
        <f>"04251280378"</f>
        <v>04251280378</v>
      </c>
      <c r="I921" t="s">
        <v>612</v>
      </c>
      <c r="L921" t="s">
        <v>41</v>
      </c>
      <c r="M921">
        <v>78689</v>
      </c>
      <c r="AG921">
        <v>78688.52</v>
      </c>
      <c r="AH921" s="1">
        <v>41591</v>
      </c>
      <c r="AI921" s="1">
        <v>41639</v>
      </c>
      <c r="AJ921" s="1">
        <v>41638</v>
      </c>
    </row>
    <row r="922" spans="1:36" ht="15">
      <c r="A922" t="str">
        <f>"5428504F33"</f>
        <v>5428504F33</v>
      </c>
      <c r="B922" t="str">
        <f t="shared" si="44"/>
        <v>02406911202</v>
      </c>
      <c r="C922" t="s">
        <v>13</v>
      </c>
      <c r="D922" t="s">
        <v>37</v>
      </c>
      <c r="E922" t="s">
        <v>613</v>
      </c>
      <c r="F922" t="s">
        <v>86</v>
      </c>
      <c r="G922" t="str">
        <f>"02642020156"</f>
        <v>02642020156</v>
      </c>
      <c r="I922" t="s">
        <v>501</v>
      </c>
      <c r="L922" t="s">
        <v>41</v>
      </c>
      <c r="M922">
        <v>345600</v>
      </c>
      <c r="AG922">
        <v>536560</v>
      </c>
      <c r="AH922" s="1">
        <v>41591</v>
      </c>
      <c r="AI922" s="1">
        <v>41820</v>
      </c>
      <c r="AJ922" s="1">
        <v>41638</v>
      </c>
    </row>
    <row r="923" spans="1:36" ht="15">
      <c r="A923" t="str">
        <f>"5431262330"</f>
        <v>5431262330</v>
      </c>
      <c r="B923" t="str">
        <f t="shared" si="44"/>
        <v>02406911202</v>
      </c>
      <c r="C923" t="s">
        <v>13</v>
      </c>
      <c r="D923" t="s">
        <v>37</v>
      </c>
      <c r="E923" t="s">
        <v>614</v>
      </c>
      <c r="F923" t="s">
        <v>39</v>
      </c>
      <c r="G923" t="str">
        <f>"02974560100"</f>
        <v>02974560100</v>
      </c>
      <c r="I923" t="s">
        <v>615</v>
      </c>
      <c r="L923" t="s">
        <v>41</v>
      </c>
      <c r="M923">
        <v>999010</v>
      </c>
      <c r="AG923">
        <v>934401.46</v>
      </c>
      <c r="AH923" s="1">
        <v>41593</v>
      </c>
      <c r="AI923" s="1">
        <v>42643</v>
      </c>
      <c r="AJ923" s="1">
        <v>41638</v>
      </c>
    </row>
    <row r="924" spans="1:36" ht="15">
      <c r="A924" t="str">
        <f>"5431312C70"</f>
        <v>5431312C70</v>
      </c>
      <c r="B924" t="str">
        <f t="shared" si="44"/>
        <v>02406911202</v>
      </c>
      <c r="C924" t="s">
        <v>13</v>
      </c>
      <c r="D924" t="s">
        <v>37</v>
      </c>
      <c r="E924" t="s">
        <v>614</v>
      </c>
      <c r="F924" t="s">
        <v>39</v>
      </c>
      <c r="G924" t="str">
        <f>"02974560100"</f>
        <v>02974560100</v>
      </c>
      <c r="I924" t="s">
        <v>615</v>
      </c>
      <c r="L924" t="s">
        <v>41</v>
      </c>
      <c r="M924">
        <v>364677</v>
      </c>
      <c r="AG924">
        <v>377315.83</v>
      </c>
      <c r="AH924" s="1">
        <v>41593</v>
      </c>
      <c r="AI924" s="1">
        <v>42643</v>
      </c>
      <c r="AJ924" s="1">
        <v>41638</v>
      </c>
    </row>
    <row r="925" spans="1:36" ht="15">
      <c r="A925" t="str">
        <f>"5431292BEF"</f>
        <v>5431292BEF</v>
      </c>
      <c r="B925" t="str">
        <f t="shared" si="44"/>
        <v>02406911202</v>
      </c>
      <c r="C925" t="s">
        <v>13</v>
      </c>
      <c r="D925" t="s">
        <v>37</v>
      </c>
      <c r="E925" t="s">
        <v>614</v>
      </c>
      <c r="F925" t="s">
        <v>39</v>
      </c>
      <c r="G925" t="str">
        <f>"03960230377"</f>
        <v>03960230377</v>
      </c>
      <c r="I925" t="s">
        <v>616</v>
      </c>
      <c r="L925" t="s">
        <v>41</v>
      </c>
      <c r="M925">
        <v>90514</v>
      </c>
      <c r="AG925">
        <v>92220.52</v>
      </c>
      <c r="AH925" s="1">
        <v>41593</v>
      </c>
      <c r="AI925" s="1">
        <v>42643</v>
      </c>
      <c r="AJ925" s="1">
        <v>41638</v>
      </c>
    </row>
    <row r="926" spans="1:36" ht="15">
      <c r="A926" t="str">
        <f>"54327417B1"</f>
        <v>54327417B1</v>
      </c>
      <c r="B926" t="str">
        <f t="shared" si="44"/>
        <v>02406911202</v>
      </c>
      <c r="C926" t="s">
        <v>13</v>
      </c>
      <c r="D926" t="s">
        <v>37</v>
      </c>
      <c r="E926" t="s">
        <v>617</v>
      </c>
      <c r="F926" t="s">
        <v>39</v>
      </c>
      <c r="G926" t="str">
        <f>"10181220152"</f>
        <v>10181220152</v>
      </c>
      <c r="I926" t="s">
        <v>265</v>
      </c>
      <c r="L926" t="s">
        <v>41</v>
      </c>
      <c r="M926">
        <v>36400</v>
      </c>
      <c r="AG926">
        <v>41216</v>
      </c>
      <c r="AH926" s="1">
        <v>41596</v>
      </c>
      <c r="AI926" s="1">
        <v>42369</v>
      </c>
      <c r="AJ926" s="1">
        <v>41638</v>
      </c>
    </row>
    <row r="927" spans="1:36" ht="15">
      <c r="A927" t="str">
        <f>"5432786CD2"</f>
        <v>5432786CD2</v>
      </c>
      <c r="B927" t="str">
        <f t="shared" si="44"/>
        <v>02406911202</v>
      </c>
      <c r="C927" t="s">
        <v>13</v>
      </c>
      <c r="D927" t="s">
        <v>37</v>
      </c>
      <c r="E927" t="s">
        <v>617</v>
      </c>
      <c r="F927" t="s">
        <v>39</v>
      </c>
      <c r="G927" t="str">
        <f>"05688870483"</f>
        <v>05688870483</v>
      </c>
      <c r="I927" t="s">
        <v>375</v>
      </c>
      <c r="L927" t="s">
        <v>41</v>
      </c>
      <c r="M927">
        <v>596</v>
      </c>
      <c r="AG927">
        <v>1326.6</v>
      </c>
      <c r="AH927" s="1">
        <v>41596</v>
      </c>
      <c r="AI927" s="1">
        <v>42369</v>
      </c>
      <c r="AJ927" s="1">
        <v>41638</v>
      </c>
    </row>
    <row r="928" spans="1:36" ht="15">
      <c r="A928" t="str">
        <f>"5437925DA8"</f>
        <v>5437925DA8</v>
      </c>
      <c r="B928" t="str">
        <f t="shared" si="44"/>
        <v>02406911202</v>
      </c>
      <c r="C928" t="s">
        <v>13</v>
      </c>
      <c r="D928" t="s">
        <v>37</v>
      </c>
      <c r="E928" t="s">
        <v>618</v>
      </c>
      <c r="F928" t="s">
        <v>39</v>
      </c>
      <c r="G928" t="str">
        <f>"00310940374"</f>
        <v>00310940374</v>
      </c>
      <c r="I928" t="s">
        <v>296</v>
      </c>
      <c r="L928" t="s">
        <v>41</v>
      </c>
      <c r="M928">
        <v>95470.76</v>
      </c>
      <c r="AG928">
        <v>95470.76</v>
      </c>
      <c r="AH928" s="1">
        <v>41597</v>
      </c>
      <c r="AI928" s="1">
        <v>41698</v>
      </c>
      <c r="AJ928" s="1">
        <v>41638</v>
      </c>
    </row>
    <row r="929" spans="1:36" ht="15">
      <c r="A929" t="str">
        <f>"5409277497"</f>
        <v>5409277497</v>
      </c>
      <c r="B929" t="str">
        <f t="shared" si="44"/>
        <v>02406911202</v>
      </c>
      <c r="C929" t="s">
        <v>13</v>
      </c>
      <c r="D929" t="s">
        <v>37</v>
      </c>
      <c r="E929" t="s">
        <v>619</v>
      </c>
      <c r="F929" t="s">
        <v>86</v>
      </c>
      <c r="G929" t="str">
        <f>"11575580151"</f>
        <v>11575580151</v>
      </c>
      <c r="I929" t="s">
        <v>570</v>
      </c>
      <c r="L929" t="s">
        <v>41</v>
      </c>
      <c r="M929">
        <v>74222</v>
      </c>
      <c r="AG929">
        <v>61437.72</v>
      </c>
      <c r="AH929" s="1">
        <v>41640</v>
      </c>
      <c r="AI929" s="1">
        <v>42004</v>
      </c>
      <c r="AJ929" s="1">
        <v>41638</v>
      </c>
    </row>
    <row r="930" spans="1:36" ht="15">
      <c r="A930" t="str">
        <f aca="true" t="shared" si="47" ref="A930:A935">"5353343664"</f>
        <v>5353343664</v>
      </c>
      <c r="B930" t="str">
        <f t="shared" si="44"/>
        <v>02406911202</v>
      </c>
      <c r="C930" t="s">
        <v>13</v>
      </c>
      <c r="D930" t="s">
        <v>37</v>
      </c>
      <c r="E930" t="s">
        <v>620</v>
      </c>
      <c r="F930" t="s">
        <v>89</v>
      </c>
      <c r="G930" t="str">
        <f>"08693440151"</f>
        <v>08693440151</v>
      </c>
      <c r="I930" t="s">
        <v>621</v>
      </c>
      <c r="L930" t="s">
        <v>41</v>
      </c>
      <c r="M930">
        <v>4941</v>
      </c>
      <c r="AG930">
        <v>6091</v>
      </c>
      <c r="AH930" s="1">
        <v>41599</v>
      </c>
      <c r="AI930" s="1">
        <v>41639</v>
      </c>
      <c r="AJ930" s="1">
        <v>41638</v>
      </c>
    </row>
    <row r="931" spans="1:36" ht="15">
      <c r="A931" t="str">
        <f t="shared" si="47"/>
        <v>5353343664</v>
      </c>
      <c r="B931" t="str">
        <f t="shared" si="44"/>
        <v>02406911202</v>
      </c>
      <c r="C931" t="s">
        <v>13</v>
      </c>
      <c r="D931" t="s">
        <v>37</v>
      </c>
      <c r="E931" t="s">
        <v>620</v>
      </c>
      <c r="F931" t="s">
        <v>89</v>
      </c>
      <c r="G931" t="str">
        <f>"02705540165"</f>
        <v>02705540165</v>
      </c>
      <c r="I931" t="s">
        <v>408</v>
      </c>
      <c r="L931" t="s">
        <v>45</v>
      </c>
      <c r="AJ931" s="1">
        <v>41638</v>
      </c>
    </row>
    <row r="932" spans="1:36" ht="15">
      <c r="A932" t="str">
        <f t="shared" si="47"/>
        <v>5353343664</v>
      </c>
      <c r="B932" t="str">
        <f t="shared" si="44"/>
        <v>02406911202</v>
      </c>
      <c r="C932" t="s">
        <v>13</v>
      </c>
      <c r="D932" t="s">
        <v>37</v>
      </c>
      <c r="E932" t="s">
        <v>620</v>
      </c>
      <c r="F932" t="s">
        <v>89</v>
      </c>
      <c r="G932" t="str">
        <f>"02405040284"</f>
        <v>02405040284</v>
      </c>
      <c r="I932" t="s">
        <v>410</v>
      </c>
      <c r="L932" t="s">
        <v>45</v>
      </c>
      <c r="AJ932" s="1">
        <v>41638</v>
      </c>
    </row>
    <row r="933" spans="1:36" ht="15">
      <c r="A933" t="str">
        <f t="shared" si="47"/>
        <v>5353343664</v>
      </c>
      <c r="B933" t="str">
        <f t="shared" si="44"/>
        <v>02406911202</v>
      </c>
      <c r="C933" t="s">
        <v>13</v>
      </c>
      <c r="D933" t="s">
        <v>37</v>
      </c>
      <c r="E933" t="s">
        <v>620</v>
      </c>
      <c r="F933" t="s">
        <v>89</v>
      </c>
      <c r="G933" t="str">
        <f>"01035300100"</f>
        <v>01035300100</v>
      </c>
      <c r="I933" t="s">
        <v>407</v>
      </c>
      <c r="L933" t="s">
        <v>45</v>
      </c>
      <c r="AJ933" s="1">
        <v>41638</v>
      </c>
    </row>
    <row r="934" spans="1:36" ht="15">
      <c r="A934" t="str">
        <f t="shared" si="47"/>
        <v>5353343664</v>
      </c>
      <c r="B934" t="str">
        <f t="shared" si="44"/>
        <v>02406911202</v>
      </c>
      <c r="C934" t="s">
        <v>13</v>
      </c>
      <c r="D934" t="s">
        <v>37</v>
      </c>
      <c r="E934" t="s">
        <v>620</v>
      </c>
      <c r="F934" t="s">
        <v>89</v>
      </c>
      <c r="G934" t="str">
        <f>"09933630155"</f>
        <v>09933630155</v>
      </c>
      <c r="I934" t="s">
        <v>409</v>
      </c>
      <c r="L934" t="s">
        <v>45</v>
      </c>
      <c r="AJ934" s="1">
        <v>41638</v>
      </c>
    </row>
    <row r="935" spans="1:36" ht="15">
      <c r="A935" t="str">
        <f t="shared" si="47"/>
        <v>5353343664</v>
      </c>
      <c r="B935" t="str">
        <f t="shared" si="44"/>
        <v>02406911202</v>
      </c>
      <c r="C935" t="s">
        <v>13</v>
      </c>
      <c r="D935" t="s">
        <v>37</v>
      </c>
      <c r="E935" t="s">
        <v>620</v>
      </c>
      <c r="F935" t="s">
        <v>89</v>
      </c>
      <c r="G935" t="str">
        <f>"06754140157"</f>
        <v>06754140157</v>
      </c>
      <c r="I935" t="s">
        <v>406</v>
      </c>
      <c r="L935" t="s">
        <v>45</v>
      </c>
      <c r="AJ935" s="1">
        <v>41638</v>
      </c>
    </row>
    <row r="936" spans="1:36" ht="15">
      <c r="A936" t="str">
        <f aca="true" t="shared" si="48" ref="A936:A942">"5301391E3C"</f>
        <v>5301391E3C</v>
      </c>
      <c r="B936" t="str">
        <f t="shared" si="44"/>
        <v>02406911202</v>
      </c>
      <c r="C936" t="s">
        <v>13</v>
      </c>
      <c r="D936" t="s">
        <v>37</v>
      </c>
      <c r="E936" t="s">
        <v>622</v>
      </c>
      <c r="F936" t="s">
        <v>89</v>
      </c>
      <c r="G936" t="str">
        <f>"00538691205"</f>
        <v>00538691205</v>
      </c>
      <c r="I936" t="s">
        <v>623</v>
      </c>
      <c r="L936" t="s">
        <v>41</v>
      </c>
      <c r="M936">
        <v>106920</v>
      </c>
      <c r="AG936">
        <v>121460</v>
      </c>
      <c r="AH936" s="1">
        <v>41640</v>
      </c>
      <c r="AI936" s="1">
        <v>42735</v>
      </c>
      <c r="AJ936" s="1">
        <v>41638</v>
      </c>
    </row>
    <row r="937" spans="1:36" ht="15">
      <c r="A937" t="str">
        <f t="shared" si="48"/>
        <v>5301391E3C</v>
      </c>
      <c r="B937" t="str">
        <f t="shared" si="44"/>
        <v>02406911202</v>
      </c>
      <c r="C937" t="s">
        <v>13</v>
      </c>
      <c r="D937" t="s">
        <v>37</v>
      </c>
      <c r="E937" t="s">
        <v>622</v>
      </c>
      <c r="F937" t="s">
        <v>89</v>
      </c>
      <c r="G937" t="str">
        <f>"01244430466"</f>
        <v>01244430466</v>
      </c>
      <c r="I937" t="s">
        <v>624</v>
      </c>
      <c r="L937" t="s">
        <v>45</v>
      </c>
      <c r="AJ937" s="1">
        <v>41638</v>
      </c>
    </row>
    <row r="938" spans="1:36" ht="15">
      <c r="A938" t="str">
        <f t="shared" si="48"/>
        <v>5301391E3C</v>
      </c>
      <c r="B938" t="str">
        <f t="shared" si="44"/>
        <v>02406911202</v>
      </c>
      <c r="C938" t="s">
        <v>13</v>
      </c>
      <c r="D938" t="s">
        <v>37</v>
      </c>
      <c r="E938" t="s">
        <v>622</v>
      </c>
      <c r="F938" t="s">
        <v>89</v>
      </c>
      <c r="G938" t="str">
        <f>"01490000120"</f>
        <v>01490000120</v>
      </c>
      <c r="I938" t="s">
        <v>625</v>
      </c>
      <c r="L938" t="s">
        <v>45</v>
      </c>
      <c r="AJ938" s="1">
        <v>41638</v>
      </c>
    </row>
    <row r="939" spans="1:36" ht="15">
      <c r="A939" t="str">
        <f t="shared" si="48"/>
        <v>5301391E3C</v>
      </c>
      <c r="B939" t="str">
        <f t="shared" si="44"/>
        <v>02406911202</v>
      </c>
      <c r="C939" t="s">
        <v>13</v>
      </c>
      <c r="D939" t="s">
        <v>37</v>
      </c>
      <c r="E939" t="s">
        <v>622</v>
      </c>
      <c r="F939" t="s">
        <v>89</v>
      </c>
      <c r="G939" t="str">
        <f>"02327730400"</f>
        <v>02327730400</v>
      </c>
      <c r="I939" t="s">
        <v>626</v>
      </c>
      <c r="L939" t="s">
        <v>45</v>
      </c>
      <c r="AJ939" s="1">
        <v>41638</v>
      </c>
    </row>
    <row r="940" spans="1:36" ht="15">
      <c r="A940" t="str">
        <f t="shared" si="48"/>
        <v>5301391E3C</v>
      </c>
      <c r="B940" t="str">
        <f t="shared" si="44"/>
        <v>02406911202</v>
      </c>
      <c r="C940" t="s">
        <v>13</v>
      </c>
      <c r="D940" t="s">
        <v>37</v>
      </c>
      <c r="E940" t="s">
        <v>622</v>
      </c>
      <c r="F940" t="s">
        <v>89</v>
      </c>
      <c r="G940" t="str">
        <f>"01383490354"</f>
        <v>01383490354</v>
      </c>
      <c r="I940" t="s">
        <v>627</v>
      </c>
      <c r="L940" t="s">
        <v>45</v>
      </c>
      <c r="AJ940" s="1">
        <v>41638</v>
      </c>
    </row>
    <row r="941" spans="1:36" ht="15">
      <c r="A941" t="str">
        <f t="shared" si="48"/>
        <v>5301391E3C</v>
      </c>
      <c r="B941" t="str">
        <f t="shared" si="44"/>
        <v>02406911202</v>
      </c>
      <c r="C941" t="s">
        <v>13</v>
      </c>
      <c r="D941" t="s">
        <v>37</v>
      </c>
      <c r="E941" t="s">
        <v>622</v>
      </c>
      <c r="F941" t="s">
        <v>89</v>
      </c>
      <c r="G941" t="str">
        <f>"02638030961"</f>
        <v>02638030961</v>
      </c>
      <c r="I941" t="s">
        <v>628</v>
      </c>
      <c r="L941" t="s">
        <v>45</v>
      </c>
      <c r="AJ941" s="1">
        <v>41638</v>
      </c>
    </row>
    <row r="942" spans="1:36" ht="15">
      <c r="A942" t="str">
        <f t="shared" si="48"/>
        <v>5301391E3C</v>
      </c>
      <c r="B942" t="str">
        <f t="shared" si="44"/>
        <v>02406911202</v>
      </c>
      <c r="C942" t="s">
        <v>13</v>
      </c>
      <c r="D942" t="s">
        <v>37</v>
      </c>
      <c r="E942" t="s">
        <v>622</v>
      </c>
      <c r="F942" t="s">
        <v>89</v>
      </c>
      <c r="G942" t="str">
        <f>"03533500165"</f>
        <v>03533500165</v>
      </c>
      <c r="I942" t="s">
        <v>629</v>
      </c>
      <c r="L942" t="s">
        <v>45</v>
      </c>
      <c r="AJ942" s="1">
        <v>41638</v>
      </c>
    </row>
    <row r="943" spans="1:36" ht="15">
      <c r="A943" t="str">
        <f>"54502654F5"</f>
        <v>54502654F5</v>
      </c>
      <c r="B943" t="str">
        <f t="shared" si="44"/>
        <v>02406911202</v>
      </c>
      <c r="C943" t="s">
        <v>13</v>
      </c>
      <c r="D943" t="s">
        <v>37</v>
      </c>
      <c r="E943" t="s">
        <v>630</v>
      </c>
      <c r="F943" t="s">
        <v>39</v>
      </c>
      <c r="G943" t="str">
        <f>"05991060582"</f>
        <v>05991060582</v>
      </c>
      <c r="I943" t="s">
        <v>373</v>
      </c>
      <c r="L943" t="s">
        <v>41</v>
      </c>
      <c r="M943">
        <v>4200</v>
      </c>
      <c r="AG943">
        <v>1960</v>
      </c>
      <c r="AH943" s="1">
        <v>41600</v>
      </c>
      <c r="AI943" s="1">
        <v>41639</v>
      </c>
      <c r="AJ943" s="1">
        <v>41638</v>
      </c>
    </row>
    <row r="944" spans="1:36" ht="15">
      <c r="A944" t="str">
        <f>"5451454A25"</f>
        <v>5451454A25</v>
      </c>
      <c r="B944" t="str">
        <f t="shared" si="44"/>
        <v>02406911202</v>
      </c>
      <c r="C944" t="s">
        <v>13</v>
      </c>
      <c r="D944" t="s">
        <v>37</v>
      </c>
      <c r="E944" t="s">
        <v>574</v>
      </c>
      <c r="F944" t="s">
        <v>86</v>
      </c>
      <c r="G944" t="str">
        <f>"00399800580"</f>
        <v>00399800580</v>
      </c>
      <c r="I944" t="s">
        <v>631</v>
      </c>
      <c r="L944" t="s">
        <v>41</v>
      </c>
      <c r="M944">
        <v>432271</v>
      </c>
      <c r="AG944">
        <v>275053.77</v>
      </c>
      <c r="AH944" s="1">
        <v>41579</v>
      </c>
      <c r="AI944" s="1">
        <v>41670</v>
      </c>
      <c r="AJ944" s="1">
        <v>41638</v>
      </c>
    </row>
    <row r="945" spans="1:36" ht="15">
      <c r="A945" t="str">
        <f>"5429822ED9"</f>
        <v>5429822ED9</v>
      </c>
      <c r="B945" t="str">
        <f t="shared" si="44"/>
        <v>02406911202</v>
      </c>
      <c r="C945" t="s">
        <v>13</v>
      </c>
      <c r="D945" t="s">
        <v>37</v>
      </c>
      <c r="E945" t="s">
        <v>632</v>
      </c>
      <c r="F945" t="s">
        <v>86</v>
      </c>
      <c r="G945" t="str">
        <f>"07077990013"</f>
        <v>07077990013</v>
      </c>
      <c r="I945" t="s">
        <v>173</v>
      </c>
      <c r="L945" t="s">
        <v>41</v>
      </c>
      <c r="M945">
        <v>190000</v>
      </c>
      <c r="AG945">
        <v>190000</v>
      </c>
      <c r="AH945" s="1">
        <v>41607</v>
      </c>
      <c r="AI945" s="1">
        <v>41670</v>
      </c>
      <c r="AJ945" s="1">
        <v>41638</v>
      </c>
    </row>
    <row r="946" spans="1:36" ht="15">
      <c r="A946" t="str">
        <f>"5441664B2E"</f>
        <v>5441664B2E</v>
      </c>
      <c r="B946" t="str">
        <f t="shared" si="44"/>
        <v>02406911202</v>
      </c>
      <c r="C946" t="s">
        <v>13</v>
      </c>
      <c r="D946" t="s">
        <v>37</v>
      </c>
      <c r="E946" t="s">
        <v>633</v>
      </c>
      <c r="F946" t="s">
        <v>86</v>
      </c>
      <c r="G946" t="str">
        <f>"08230491006"</f>
        <v>08230491006</v>
      </c>
      <c r="I946" t="s">
        <v>634</v>
      </c>
      <c r="L946" t="s">
        <v>41</v>
      </c>
      <c r="M946">
        <v>172000</v>
      </c>
      <c r="AG946">
        <v>0</v>
      </c>
      <c r="AH946" s="1">
        <v>41609</v>
      </c>
      <c r="AI946" s="1">
        <v>42338</v>
      </c>
      <c r="AJ946" s="1">
        <v>41638</v>
      </c>
    </row>
    <row r="947" spans="1:36" ht="15">
      <c r="A947" t="str">
        <f>"5441782C8E"</f>
        <v>5441782C8E</v>
      </c>
      <c r="B947" t="str">
        <f t="shared" si="44"/>
        <v>02406911202</v>
      </c>
      <c r="C947" t="s">
        <v>13</v>
      </c>
      <c r="D947" t="s">
        <v>37</v>
      </c>
      <c r="E947" t="s">
        <v>633</v>
      </c>
      <c r="F947" t="s">
        <v>86</v>
      </c>
      <c r="G947" t="str">
        <f>"09238800156"</f>
        <v>09238800156</v>
      </c>
      <c r="I947" t="s">
        <v>257</v>
      </c>
      <c r="L947" t="s">
        <v>41</v>
      </c>
      <c r="M947">
        <v>210034</v>
      </c>
      <c r="AG947">
        <v>0</v>
      </c>
      <c r="AH947" s="1">
        <v>41609</v>
      </c>
      <c r="AI947" s="1">
        <v>42338</v>
      </c>
      <c r="AJ947" s="1">
        <v>41638</v>
      </c>
    </row>
    <row r="948" spans="1:36" ht="15">
      <c r="A948" t="str">
        <f>"5441754575"</f>
        <v>5441754575</v>
      </c>
      <c r="B948" t="str">
        <f t="shared" si="44"/>
        <v>02406911202</v>
      </c>
      <c r="C948" t="s">
        <v>13</v>
      </c>
      <c r="D948" t="s">
        <v>37</v>
      </c>
      <c r="E948" t="s">
        <v>633</v>
      </c>
      <c r="F948" t="s">
        <v>86</v>
      </c>
      <c r="G948" t="str">
        <f>"11264670156"</f>
        <v>11264670156</v>
      </c>
      <c r="I948" t="s">
        <v>386</v>
      </c>
      <c r="L948" t="s">
        <v>41</v>
      </c>
      <c r="M948">
        <v>33600</v>
      </c>
      <c r="AG948">
        <v>0</v>
      </c>
      <c r="AH948" s="1">
        <v>41609</v>
      </c>
      <c r="AI948" s="1">
        <v>42338</v>
      </c>
      <c r="AJ948" s="1">
        <v>41638</v>
      </c>
    </row>
    <row r="949" spans="1:36" ht="15">
      <c r="A949" t="str">
        <f>"5465628AE6"</f>
        <v>5465628AE6</v>
      </c>
      <c r="B949" t="str">
        <f t="shared" si="44"/>
        <v>02406911202</v>
      </c>
      <c r="C949" t="s">
        <v>13</v>
      </c>
      <c r="D949" t="s">
        <v>37</v>
      </c>
      <c r="E949" t="s">
        <v>635</v>
      </c>
      <c r="F949" t="s">
        <v>39</v>
      </c>
      <c r="G949" t="str">
        <f>"00248660599"</f>
        <v>00248660599</v>
      </c>
      <c r="I949" t="s">
        <v>636</v>
      </c>
      <c r="L949" t="s">
        <v>41</v>
      </c>
      <c r="M949">
        <v>404983</v>
      </c>
      <c r="AG949">
        <v>363888.55</v>
      </c>
      <c r="AH949" s="1">
        <v>41611</v>
      </c>
      <c r="AI949" s="1">
        <v>43025</v>
      </c>
      <c r="AJ949" s="1">
        <v>41638</v>
      </c>
    </row>
    <row r="950" spans="1:36" ht="15">
      <c r="A950" t="str">
        <f>"54708700BF"</f>
        <v>54708700BF</v>
      </c>
      <c r="B950" t="str">
        <f t="shared" si="44"/>
        <v>02406911202</v>
      </c>
      <c r="C950" t="s">
        <v>13</v>
      </c>
      <c r="D950" t="s">
        <v>37</v>
      </c>
      <c r="E950" t="s">
        <v>637</v>
      </c>
      <c r="F950" t="s">
        <v>106</v>
      </c>
      <c r="G950" t="str">
        <f>"03524050238"</f>
        <v>03524050238</v>
      </c>
      <c r="I950" t="s">
        <v>638</v>
      </c>
      <c r="L950" t="s">
        <v>45</v>
      </c>
      <c r="AJ950" s="1">
        <v>41638</v>
      </c>
    </row>
    <row r="951" spans="1:36" ht="15">
      <c r="A951" t="str">
        <f>"54708700BF"</f>
        <v>54708700BF</v>
      </c>
      <c r="B951" t="str">
        <f t="shared" si="44"/>
        <v>02406911202</v>
      </c>
      <c r="C951" t="s">
        <v>13</v>
      </c>
      <c r="D951" t="s">
        <v>37</v>
      </c>
      <c r="E951" t="s">
        <v>637</v>
      </c>
      <c r="F951" t="s">
        <v>106</v>
      </c>
      <c r="G951" t="str">
        <f>"10923790157"</f>
        <v>10923790157</v>
      </c>
      <c r="I951" t="s">
        <v>488</v>
      </c>
      <c r="L951" t="s">
        <v>45</v>
      </c>
      <c r="AJ951" s="1">
        <v>41638</v>
      </c>
    </row>
    <row r="952" spans="1:36" ht="15">
      <c r="A952" t="str">
        <f>"54708700BF"</f>
        <v>54708700BF</v>
      </c>
      <c r="B952" t="str">
        <f t="shared" si="44"/>
        <v>02406911202</v>
      </c>
      <c r="C952" t="s">
        <v>13</v>
      </c>
      <c r="D952" t="s">
        <v>37</v>
      </c>
      <c r="E952" t="s">
        <v>637</v>
      </c>
      <c r="F952" t="s">
        <v>106</v>
      </c>
      <c r="G952" t="str">
        <f>"10556980158"</f>
        <v>10556980158</v>
      </c>
      <c r="I952" t="s">
        <v>490</v>
      </c>
      <c r="L952" t="s">
        <v>41</v>
      </c>
      <c r="M952">
        <v>106400</v>
      </c>
      <c r="AG952">
        <v>43203</v>
      </c>
      <c r="AH952" s="1">
        <v>41730</v>
      </c>
      <c r="AI952" s="1">
        <v>43555</v>
      </c>
      <c r="AJ952" s="1">
        <v>41638</v>
      </c>
    </row>
    <row r="953" spans="1:36" ht="15">
      <c r="A953" t="str">
        <f>"54727521D2"</f>
        <v>54727521D2</v>
      </c>
      <c r="B953" t="str">
        <f t="shared" si="44"/>
        <v>02406911202</v>
      </c>
      <c r="C953" t="s">
        <v>13</v>
      </c>
      <c r="D953" t="s">
        <v>37</v>
      </c>
      <c r="E953" t="s">
        <v>639</v>
      </c>
      <c r="F953" t="s">
        <v>89</v>
      </c>
      <c r="G953" t="str">
        <f>"02074871209"</f>
        <v>02074871209</v>
      </c>
      <c r="I953" t="s">
        <v>640</v>
      </c>
      <c r="L953" t="s">
        <v>41</v>
      </c>
      <c r="M953">
        <v>123735</v>
      </c>
      <c r="AG953">
        <v>0</v>
      </c>
      <c r="AH953" s="1">
        <v>41640</v>
      </c>
      <c r="AI953" s="1">
        <v>42369</v>
      </c>
      <c r="AJ953" s="1">
        <v>41638</v>
      </c>
    </row>
    <row r="954" spans="1:36" ht="15">
      <c r="A954" t="str">
        <f>"Z8B0CAEB67"</f>
        <v>Z8B0CAEB67</v>
      </c>
      <c r="B954" t="str">
        <f t="shared" si="44"/>
        <v>02406911202</v>
      </c>
      <c r="C954" t="s">
        <v>13</v>
      </c>
      <c r="D954" t="s">
        <v>37</v>
      </c>
      <c r="E954" t="s">
        <v>641</v>
      </c>
      <c r="F954" t="s">
        <v>353</v>
      </c>
      <c r="G954" t="str">
        <f>"05503160011"</f>
        <v>05503160011</v>
      </c>
      <c r="I954" t="s">
        <v>642</v>
      </c>
      <c r="L954" t="s">
        <v>41</v>
      </c>
      <c r="M954">
        <v>25920</v>
      </c>
      <c r="AG954">
        <v>20844</v>
      </c>
      <c r="AH954" s="1">
        <v>41640</v>
      </c>
      <c r="AI954" s="1">
        <v>42369</v>
      </c>
      <c r="AJ954" s="1">
        <v>41638</v>
      </c>
    </row>
    <row r="955" spans="1:36" ht="15">
      <c r="A955" t="str">
        <f>"5479669DE5"</f>
        <v>5479669DE5</v>
      </c>
      <c r="B955" t="str">
        <f t="shared" si="44"/>
        <v>02406911202</v>
      </c>
      <c r="C955" t="s">
        <v>13</v>
      </c>
      <c r="D955" t="s">
        <v>37</v>
      </c>
      <c r="E955" t="s">
        <v>643</v>
      </c>
      <c r="F955" t="s">
        <v>86</v>
      </c>
      <c r="G955" t="str">
        <f>"00962280590"</f>
        <v>00962280590</v>
      </c>
      <c r="I955" t="s">
        <v>84</v>
      </c>
      <c r="L955" t="s">
        <v>41</v>
      </c>
      <c r="M955">
        <v>116373</v>
      </c>
      <c r="AG955">
        <v>107341.16</v>
      </c>
      <c r="AH955" s="1">
        <v>41579</v>
      </c>
      <c r="AI955" s="1">
        <v>41759</v>
      </c>
      <c r="AJ955" s="1">
        <v>41638</v>
      </c>
    </row>
    <row r="956" spans="1:36" ht="15">
      <c r="A956" t="str">
        <f>"5313273B93"</f>
        <v>5313273B93</v>
      </c>
      <c r="B956" t="str">
        <f t="shared" si="44"/>
        <v>02406911202</v>
      </c>
      <c r="C956" t="s">
        <v>13</v>
      </c>
      <c r="D956" t="s">
        <v>37</v>
      </c>
      <c r="E956" t="s">
        <v>644</v>
      </c>
      <c r="F956" t="s">
        <v>86</v>
      </c>
      <c r="G956" t="str">
        <f>"07123400157"</f>
        <v>07123400157</v>
      </c>
      <c r="I956" t="s">
        <v>645</v>
      </c>
      <c r="L956" t="s">
        <v>41</v>
      </c>
      <c r="M956">
        <v>164243</v>
      </c>
      <c r="AG956">
        <v>264168.45</v>
      </c>
      <c r="AH956" s="1">
        <v>41609</v>
      </c>
      <c r="AI956" s="1">
        <v>42338</v>
      </c>
      <c r="AJ956" s="1">
        <v>41638</v>
      </c>
    </row>
    <row r="957" spans="1:36" ht="15">
      <c r="A957" t="str">
        <f>"5313309949"</f>
        <v>5313309949</v>
      </c>
      <c r="B957" t="str">
        <f t="shared" si="44"/>
        <v>02406911202</v>
      </c>
      <c r="C957" t="s">
        <v>13</v>
      </c>
      <c r="D957" t="s">
        <v>37</v>
      </c>
      <c r="E957" t="s">
        <v>644</v>
      </c>
      <c r="F957" t="s">
        <v>86</v>
      </c>
      <c r="G957" t="str">
        <f>"04094700376"</f>
        <v>04094700376</v>
      </c>
      <c r="I957" t="s">
        <v>256</v>
      </c>
      <c r="L957" t="s">
        <v>41</v>
      </c>
      <c r="M957">
        <v>30846</v>
      </c>
      <c r="AG957">
        <v>0</v>
      </c>
      <c r="AH957" s="1">
        <v>41609</v>
      </c>
      <c r="AI957" s="1">
        <v>42338</v>
      </c>
      <c r="AJ957" s="1">
        <v>41638</v>
      </c>
    </row>
    <row r="958" spans="1:36" ht="15">
      <c r="A958" t="str">
        <f>"53133299CA"</f>
        <v>53133299CA</v>
      </c>
      <c r="B958" t="str">
        <f t="shared" si="44"/>
        <v>02406911202</v>
      </c>
      <c r="C958" t="s">
        <v>13</v>
      </c>
      <c r="D958" t="s">
        <v>37</v>
      </c>
      <c r="E958" t="s">
        <v>644</v>
      </c>
      <c r="F958" t="s">
        <v>86</v>
      </c>
      <c r="G958" t="str">
        <f>"09238800156"</f>
        <v>09238800156</v>
      </c>
      <c r="I958" t="s">
        <v>257</v>
      </c>
      <c r="L958" t="s">
        <v>41</v>
      </c>
      <c r="M958">
        <v>128528</v>
      </c>
      <c r="AG958">
        <v>105883</v>
      </c>
      <c r="AH958" s="1">
        <v>41609</v>
      </c>
      <c r="AI958" s="1">
        <v>42338</v>
      </c>
      <c r="AJ958" s="1">
        <v>41638</v>
      </c>
    </row>
    <row r="959" spans="1:36" ht="15">
      <c r="A959" t="str">
        <f>"53133467D2"</f>
        <v>53133467D2</v>
      </c>
      <c r="B959" t="str">
        <f t="shared" si="44"/>
        <v>02406911202</v>
      </c>
      <c r="C959" t="s">
        <v>13</v>
      </c>
      <c r="D959" t="s">
        <v>37</v>
      </c>
      <c r="E959" t="s">
        <v>644</v>
      </c>
      <c r="F959" t="s">
        <v>86</v>
      </c>
      <c r="G959" t="str">
        <f>"07668030583"</f>
        <v>07668030583</v>
      </c>
      <c r="I959" t="s">
        <v>646</v>
      </c>
      <c r="L959" t="s">
        <v>41</v>
      </c>
      <c r="M959">
        <v>30850</v>
      </c>
      <c r="AG959">
        <v>83996</v>
      </c>
      <c r="AH959" s="1">
        <v>41609</v>
      </c>
      <c r="AI959" s="1">
        <v>42338</v>
      </c>
      <c r="AJ959" s="1">
        <v>41638</v>
      </c>
    </row>
    <row r="960" spans="1:36" ht="15">
      <c r="A960" t="str">
        <f>"5313362507"</f>
        <v>5313362507</v>
      </c>
      <c r="B960" t="str">
        <f t="shared" si="44"/>
        <v>02406911202</v>
      </c>
      <c r="C960" t="s">
        <v>13</v>
      </c>
      <c r="D960" t="s">
        <v>37</v>
      </c>
      <c r="E960" t="s">
        <v>644</v>
      </c>
      <c r="F960" t="s">
        <v>86</v>
      </c>
      <c r="G960" t="str">
        <f>"03748120155"</f>
        <v>03748120155</v>
      </c>
      <c r="I960" t="s">
        <v>136</v>
      </c>
      <c r="L960" t="s">
        <v>41</v>
      </c>
      <c r="M960">
        <v>89130</v>
      </c>
      <c r="AG960">
        <v>65232</v>
      </c>
      <c r="AH960" s="1">
        <v>41609</v>
      </c>
      <c r="AI960" s="1">
        <v>42338</v>
      </c>
      <c r="AJ960" s="1">
        <v>41638</v>
      </c>
    </row>
    <row r="961" spans="1:36" ht="15">
      <c r="A961" t="str">
        <f>"5482633BDE"</f>
        <v>5482633BDE</v>
      </c>
      <c r="B961" t="str">
        <f t="shared" si="44"/>
        <v>02406911202</v>
      </c>
      <c r="C961" t="s">
        <v>13</v>
      </c>
      <c r="D961" t="s">
        <v>37</v>
      </c>
      <c r="E961" t="s">
        <v>647</v>
      </c>
      <c r="F961" t="s">
        <v>39</v>
      </c>
      <c r="G961" t="str">
        <f>"02298700010"</f>
        <v>02298700010</v>
      </c>
      <c r="I961" t="s">
        <v>512</v>
      </c>
      <c r="L961" t="s">
        <v>41</v>
      </c>
      <c r="M961">
        <v>81540</v>
      </c>
      <c r="AG961">
        <v>81540</v>
      </c>
      <c r="AH961" s="1">
        <v>41618</v>
      </c>
      <c r="AI961" s="1">
        <v>41698</v>
      </c>
      <c r="AJ961" s="1">
        <v>41638</v>
      </c>
    </row>
    <row r="962" spans="1:36" ht="15">
      <c r="A962" t="str">
        <f>"54864845D2"</f>
        <v>54864845D2</v>
      </c>
      <c r="B962" t="str">
        <f aca="true" t="shared" si="49" ref="B962:B1025">"02406911202"</f>
        <v>02406911202</v>
      </c>
      <c r="C962" t="s">
        <v>13</v>
      </c>
      <c r="D962" t="s">
        <v>37</v>
      </c>
      <c r="E962" t="s">
        <v>574</v>
      </c>
      <c r="F962" t="s">
        <v>86</v>
      </c>
      <c r="G962" t="str">
        <f>"02645920592"</f>
        <v>02645920592</v>
      </c>
      <c r="I962" t="s">
        <v>648</v>
      </c>
      <c r="L962" t="s">
        <v>41</v>
      </c>
      <c r="M962">
        <v>109100</v>
      </c>
      <c r="AG962">
        <v>67487.32</v>
      </c>
      <c r="AH962" s="1">
        <v>41609</v>
      </c>
      <c r="AI962" s="1">
        <v>41670</v>
      </c>
      <c r="AJ962" s="1">
        <v>41638</v>
      </c>
    </row>
    <row r="963" spans="1:36" ht="15">
      <c r="A963" t="str">
        <f>"539894130E"</f>
        <v>539894130E</v>
      </c>
      <c r="B963" t="str">
        <f t="shared" si="49"/>
        <v>02406911202</v>
      </c>
      <c r="C963" t="s">
        <v>13</v>
      </c>
      <c r="D963" t="s">
        <v>37</v>
      </c>
      <c r="E963" t="s">
        <v>649</v>
      </c>
      <c r="F963" t="s">
        <v>86</v>
      </c>
      <c r="G963" t="str">
        <f>"08959850150"</f>
        <v>08959850150</v>
      </c>
      <c r="I963" t="s">
        <v>650</v>
      </c>
      <c r="L963" t="s">
        <v>41</v>
      </c>
      <c r="M963">
        <v>20698</v>
      </c>
      <c r="AG963">
        <v>4624.7</v>
      </c>
      <c r="AH963" s="1">
        <v>41618</v>
      </c>
      <c r="AI963" s="1">
        <v>42347</v>
      </c>
      <c r="AJ963" s="1">
        <v>41638</v>
      </c>
    </row>
    <row r="964" spans="1:36" ht="15">
      <c r="A964" t="str">
        <f>"5481756826"</f>
        <v>5481756826</v>
      </c>
      <c r="B964" t="str">
        <f t="shared" si="49"/>
        <v>02406911202</v>
      </c>
      <c r="C964" t="s">
        <v>13</v>
      </c>
      <c r="D964" t="s">
        <v>37</v>
      </c>
      <c r="E964" t="s">
        <v>651</v>
      </c>
      <c r="F964" t="s">
        <v>86</v>
      </c>
      <c r="G964" t="str">
        <f>"03321070371"</f>
        <v>03321070371</v>
      </c>
      <c r="I964" t="s">
        <v>652</v>
      </c>
      <c r="L964" t="s">
        <v>41</v>
      </c>
      <c r="M964">
        <v>8818</v>
      </c>
      <c r="AG964">
        <v>0</v>
      </c>
      <c r="AH964" s="1">
        <v>41609</v>
      </c>
      <c r="AI964" s="1">
        <v>42004</v>
      </c>
      <c r="AJ964" s="1">
        <v>41638</v>
      </c>
    </row>
    <row r="965" spans="1:36" ht="15">
      <c r="A965" t="str">
        <f>"5481737878"</f>
        <v>5481737878</v>
      </c>
      <c r="B965" t="str">
        <f t="shared" si="49"/>
        <v>02406911202</v>
      </c>
      <c r="C965" t="s">
        <v>13</v>
      </c>
      <c r="D965" t="s">
        <v>37</v>
      </c>
      <c r="E965" t="s">
        <v>651</v>
      </c>
      <c r="F965" t="s">
        <v>86</v>
      </c>
      <c r="G965" t="str">
        <f>"04091660375"</f>
        <v>04091660375</v>
      </c>
      <c r="I965" t="s">
        <v>653</v>
      </c>
      <c r="L965" t="s">
        <v>41</v>
      </c>
      <c r="M965">
        <v>39727</v>
      </c>
      <c r="AG965">
        <v>0</v>
      </c>
      <c r="AH965" s="1">
        <v>41609</v>
      </c>
      <c r="AI965" s="1">
        <v>42004</v>
      </c>
      <c r="AJ965" s="1">
        <v>41638</v>
      </c>
    </row>
    <row r="966" spans="1:36" ht="15">
      <c r="A966" t="str">
        <f>"54769477A3"</f>
        <v>54769477A3</v>
      </c>
      <c r="B966" t="str">
        <f t="shared" si="49"/>
        <v>02406911202</v>
      </c>
      <c r="C966" t="s">
        <v>13</v>
      </c>
      <c r="D966" t="s">
        <v>37</v>
      </c>
      <c r="E966" t="s">
        <v>651</v>
      </c>
      <c r="F966" t="s">
        <v>86</v>
      </c>
      <c r="G966" t="str">
        <f>"01574791206"</f>
        <v>01574791206</v>
      </c>
      <c r="I966" t="s">
        <v>654</v>
      </c>
      <c r="L966" t="s">
        <v>41</v>
      </c>
      <c r="M966">
        <v>13455</v>
      </c>
      <c r="AG966">
        <v>0</v>
      </c>
      <c r="AH966" s="1">
        <v>41609</v>
      </c>
      <c r="AI966" s="1">
        <v>42004</v>
      </c>
      <c r="AJ966" s="1">
        <v>41638</v>
      </c>
    </row>
    <row r="967" spans="1:36" ht="15">
      <c r="A967" t="str">
        <f>"5477132050"</f>
        <v>5477132050</v>
      </c>
      <c r="B967" t="str">
        <f t="shared" si="49"/>
        <v>02406911202</v>
      </c>
      <c r="C967" t="s">
        <v>13</v>
      </c>
      <c r="D967" t="s">
        <v>37</v>
      </c>
      <c r="E967" t="s">
        <v>651</v>
      </c>
      <c r="F967" t="s">
        <v>86</v>
      </c>
      <c r="G967" t="str">
        <f>"01245160377"</f>
        <v>01245160377</v>
      </c>
      <c r="I967" t="s">
        <v>655</v>
      </c>
      <c r="L967" t="s">
        <v>41</v>
      </c>
      <c r="M967">
        <v>20962</v>
      </c>
      <c r="AG967">
        <v>0</v>
      </c>
      <c r="AH967" s="1">
        <v>41609</v>
      </c>
      <c r="AI967" s="1">
        <v>42004</v>
      </c>
      <c r="AJ967" s="1">
        <v>41638</v>
      </c>
    </row>
    <row r="968" spans="1:36" ht="15">
      <c r="A968" t="str">
        <f>"54817757D4"</f>
        <v>54817757D4</v>
      </c>
      <c r="B968" t="str">
        <f t="shared" si="49"/>
        <v>02406911202</v>
      </c>
      <c r="C968" t="s">
        <v>13</v>
      </c>
      <c r="D968" t="s">
        <v>37</v>
      </c>
      <c r="E968" t="s">
        <v>651</v>
      </c>
      <c r="F968" t="s">
        <v>86</v>
      </c>
      <c r="G968" t="str">
        <f>"09596611005"</f>
        <v>09596611005</v>
      </c>
      <c r="I968" t="s">
        <v>656</v>
      </c>
      <c r="L968" t="s">
        <v>41</v>
      </c>
      <c r="M968">
        <v>574</v>
      </c>
      <c r="AG968">
        <v>0</v>
      </c>
      <c r="AH968" s="1">
        <v>41609</v>
      </c>
      <c r="AI968" s="1">
        <v>42004</v>
      </c>
      <c r="AJ968" s="1">
        <v>41638</v>
      </c>
    </row>
    <row r="969" spans="1:36" ht="15">
      <c r="A969" t="str">
        <f>"5477150F26"</f>
        <v>5477150F26</v>
      </c>
      <c r="B969" t="str">
        <f t="shared" si="49"/>
        <v>02406911202</v>
      </c>
      <c r="C969" t="s">
        <v>13</v>
      </c>
      <c r="D969" t="s">
        <v>37</v>
      </c>
      <c r="E969" t="s">
        <v>651</v>
      </c>
      <c r="F969" t="s">
        <v>86</v>
      </c>
      <c r="G969" t="str">
        <f>"01232430494"</f>
        <v>01232430494</v>
      </c>
      <c r="I969" t="s">
        <v>657</v>
      </c>
      <c r="L969" t="s">
        <v>41</v>
      </c>
      <c r="M969">
        <v>10053</v>
      </c>
      <c r="AG969">
        <v>8582.7</v>
      </c>
      <c r="AH969" s="1">
        <v>41609</v>
      </c>
      <c r="AI969" s="1">
        <v>42004</v>
      </c>
      <c r="AJ969" s="1">
        <v>41638</v>
      </c>
    </row>
    <row r="970" spans="1:36" ht="15">
      <c r="A970" t="str">
        <f>"54789089E7"</f>
        <v>54789089E7</v>
      </c>
      <c r="B970" t="str">
        <f t="shared" si="49"/>
        <v>02406911202</v>
      </c>
      <c r="C970" t="s">
        <v>13</v>
      </c>
      <c r="D970" t="s">
        <v>37</v>
      </c>
      <c r="E970" t="s">
        <v>658</v>
      </c>
      <c r="F970" t="s">
        <v>86</v>
      </c>
      <c r="G970" t="str">
        <f>"00391130580"</f>
        <v>00391130580</v>
      </c>
      <c r="I970" t="s">
        <v>659</v>
      </c>
      <c r="L970" t="s">
        <v>41</v>
      </c>
      <c r="M970">
        <v>17014</v>
      </c>
      <c r="AG970">
        <v>17014</v>
      </c>
      <c r="AH970" s="1">
        <v>41640</v>
      </c>
      <c r="AI970" s="1">
        <v>42004</v>
      </c>
      <c r="AJ970" s="1">
        <v>41638</v>
      </c>
    </row>
    <row r="971" spans="1:36" ht="15">
      <c r="A971" t="str">
        <f aca="true" t="shared" si="50" ref="A971:A977">"5495066FE6"</f>
        <v>5495066FE6</v>
      </c>
      <c r="B971" t="str">
        <f t="shared" si="49"/>
        <v>02406911202</v>
      </c>
      <c r="C971" t="s">
        <v>13</v>
      </c>
      <c r="D971" t="s">
        <v>37</v>
      </c>
      <c r="E971" t="s">
        <v>660</v>
      </c>
      <c r="F971" t="s">
        <v>89</v>
      </c>
      <c r="G971" t="str">
        <f>"02481080964"</f>
        <v>02481080964</v>
      </c>
      <c r="I971" t="s">
        <v>92</v>
      </c>
      <c r="L971" t="s">
        <v>41</v>
      </c>
      <c r="M971">
        <v>55000</v>
      </c>
      <c r="AG971">
        <v>75416.83</v>
      </c>
      <c r="AH971" s="1">
        <v>41640</v>
      </c>
      <c r="AI971" s="1">
        <v>42004</v>
      </c>
      <c r="AJ971" s="1">
        <v>41638</v>
      </c>
    </row>
    <row r="972" spans="1:36" ht="15">
      <c r="A972" t="str">
        <f t="shared" si="50"/>
        <v>5495066FE6</v>
      </c>
      <c r="B972" t="str">
        <f t="shared" si="49"/>
        <v>02406911202</v>
      </c>
      <c r="C972" t="s">
        <v>13</v>
      </c>
      <c r="D972" t="s">
        <v>37</v>
      </c>
      <c r="E972" t="s">
        <v>660</v>
      </c>
      <c r="F972" t="s">
        <v>89</v>
      </c>
      <c r="G972" t="str">
        <f>"00934960352"</f>
        <v>00934960352</v>
      </c>
      <c r="I972" t="s">
        <v>661</v>
      </c>
      <c r="L972" t="s">
        <v>45</v>
      </c>
      <c r="AJ972" s="1">
        <v>41638</v>
      </c>
    </row>
    <row r="973" spans="1:36" ht="15">
      <c r="A973" t="str">
        <f t="shared" si="50"/>
        <v>5495066FE6</v>
      </c>
      <c r="B973" t="str">
        <f t="shared" si="49"/>
        <v>02406911202</v>
      </c>
      <c r="C973" t="s">
        <v>13</v>
      </c>
      <c r="D973" t="s">
        <v>37</v>
      </c>
      <c r="E973" t="s">
        <v>660</v>
      </c>
      <c r="F973" t="s">
        <v>89</v>
      </c>
      <c r="G973" t="str">
        <f>"00805390283"</f>
        <v>00805390283</v>
      </c>
      <c r="I973" t="s">
        <v>662</v>
      </c>
      <c r="L973" t="s">
        <v>45</v>
      </c>
      <c r="AJ973" s="1">
        <v>41638</v>
      </c>
    </row>
    <row r="974" spans="1:36" ht="15">
      <c r="A974" t="str">
        <f t="shared" si="50"/>
        <v>5495066FE6</v>
      </c>
      <c r="B974" t="str">
        <f t="shared" si="49"/>
        <v>02406911202</v>
      </c>
      <c r="C974" t="s">
        <v>13</v>
      </c>
      <c r="D974" t="s">
        <v>37</v>
      </c>
      <c r="E974" t="s">
        <v>660</v>
      </c>
      <c r="F974" t="s">
        <v>89</v>
      </c>
      <c r="G974" t="str">
        <f>"03216320543"</f>
        <v>03216320543</v>
      </c>
      <c r="I974" t="s">
        <v>663</v>
      </c>
      <c r="L974" t="s">
        <v>45</v>
      </c>
      <c r="AJ974" s="1">
        <v>41638</v>
      </c>
    </row>
    <row r="975" spans="1:36" ht="15">
      <c r="A975" t="str">
        <f t="shared" si="50"/>
        <v>5495066FE6</v>
      </c>
      <c r="B975" t="str">
        <f t="shared" si="49"/>
        <v>02406911202</v>
      </c>
      <c r="C975" t="s">
        <v>13</v>
      </c>
      <c r="D975" t="s">
        <v>37</v>
      </c>
      <c r="E975" t="s">
        <v>660</v>
      </c>
      <c r="F975" t="s">
        <v>89</v>
      </c>
      <c r="G975" t="str">
        <f>"00660040528"</f>
        <v>00660040528</v>
      </c>
      <c r="I975" t="s">
        <v>664</v>
      </c>
      <c r="L975" t="s">
        <v>45</v>
      </c>
      <c r="AJ975" s="1">
        <v>41638</v>
      </c>
    </row>
    <row r="976" spans="1:36" ht="15">
      <c r="A976" t="str">
        <f t="shared" si="50"/>
        <v>5495066FE6</v>
      </c>
      <c r="B976" t="str">
        <f t="shared" si="49"/>
        <v>02406911202</v>
      </c>
      <c r="C976" t="s">
        <v>13</v>
      </c>
      <c r="D976" t="s">
        <v>37</v>
      </c>
      <c r="E976" t="s">
        <v>660</v>
      </c>
      <c r="F976" t="s">
        <v>89</v>
      </c>
      <c r="G976" t="str">
        <f>"00458450012"</f>
        <v>00458450012</v>
      </c>
      <c r="I976" t="s">
        <v>665</v>
      </c>
      <c r="L976" t="s">
        <v>45</v>
      </c>
      <c r="AJ976" s="1">
        <v>41638</v>
      </c>
    </row>
    <row r="977" spans="1:36" ht="15">
      <c r="A977" t="str">
        <f t="shared" si="50"/>
        <v>5495066FE6</v>
      </c>
      <c r="B977" t="str">
        <f t="shared" si="49"/>
        <v>02406911202</v>
      </c>
      <c r="C977" t="s">
        <v>13</v>
      </c>
      <c r="D977" t="s">
        <v>37</v>
      </c>
      <c r="E977" t="s">
        <v>660</v>
      </c>
      <c r="F977" t="s">
        <v>89</v>
      </c>
      <c r="G977" t="str">
        <f>"00710060963"</f>
        <v>00710060963</v>
      </c>
      <c r="I977" t="s">
        <v>209</v>
      </c>
      <c r="L977" t="s">
        <v>45</v>
      </c>
      <c r="AJ977" s="1">
        <v>41638</v>
      </c>
    </row>
    <row r="978" spans="1:36" ht="15">
      <c r="A978" t="str">
        <f>"5495799CCB"</f>
        <v>5495799CCB</v>
      </c>
      <c r="B978" t="str">
        <f t="shared" si="49"/>
        <v>02406911202</v>
      </c>
      <c r="C978" t="s">
        <v>13</v>
      </c>
      <c r="D978" t="s">
        <v>37</v>
      </c>
      <c r="E978" t="s">
        <v>666</v>
      </c>
      <c r="F978" t="s">
        <v>86</v>
      </c>
      <c r="G978" t="str">
        <f>"03232081202"</f>
        <v>03232081202</v>
      </c>
      <c r="I978" t="s">
        <v>667</v>
      </c>
      <c r="L978" t="s">
        <v>41</v>
      </c>
      <c r="M978">
        <v>15727</v>
      </c>
      <c r="AG978">
        <v>16250.36</v>
      </c>
      <c r="AH978" s="1">
        <v>41640</v>
      </c>
      <c r="AI978" s="1">
        <v>41882</v>
      </c>
      <c r="AJ978" s="1">
        <v>41638</v>
      </c>
    </row>
    <row r="979" spans="1:36" ht="15">
      <c r="A979" t="str">
        <f>"5497353F31"</f>
        <v>5497353F31</v>
      </c>
      <c r="B979" t="str">
        <f t="shared" si="49"/>
        <v>02406911202</v>
      </c>
      <c r="C979" t="s">
        <v>13</v>
      </c>
      <c r="D979" t="s">
        <v>37</v>
      </c>
      <c r="E979" t="s">
        <v>668</v>
      </c>
      <c r="F979" t="s">
        <v>86</v>
      </c>
      <c r="G979" t="str">
        <f>"04226100370"</f>
        <v>04226100370</v>
      </c>
      <c r="I979" t="s">
        <v>669</v>
      </c>
      <c r="L979" t="s">
        <v>41</v>
      </c>
      <c r="M979">
        <v>182603</v>
      </c>
      <c r="AG979">
        <v>464586.51</v>
      </c>
      <c r="AH979" s="1">
        <v>41640</v>
      </c>
      <c r="AI979" s="1">
        <v>42004</v>
      </c>
      <c r="AJ979" s="1">
        <v>41638</v>
      </c>
    </row>
    <row r="980" spans="1:36" ht="15">
      <c r="A980" t="str">
        <f>"54853069B3"</f>
        <v>54853069B3</v>
      </c>
      <c r="B980" t="str">
        <f t="shared" si="49"/>
        <v>02406911202</v>
      </c>
      <c r="C980" t="s">
        <v>13</v>
      </c>
      <c r="D980" t="s">
        <v>37</v>
      </c>
      <c r="E980" t="s">
        <v>670</v>
      </c>
      <c r="F980" t="s">
        <v>39</v>
      </c>
      <c r="G980" t="str">
        <f>"00076670595"</f>
        <v>00076670595</v>
      </c>
      <c r="I980" t="s">
        <v>62</v>
      </c>
      <c r="L980" t="s">
        <v>41</v>
      </c>
      <c r="M980">
        <v>94168</v>
      </c>
      <c r="AG980">
        <v>150753.2</v>
      </c>
      <c r="AH980" s="1">
        <v>41640</v>
      </c>
      <c r="AI980" s="1">
        <v>42004</v>
      </c>
      <c r="AJ980" s="1">
        <v>41638</v>
      </c>
    </row>
    <row r="981" spans="1:36" ht="15">
      <c r="A981" t="str">
        <f>"548537744C"</f>
        <v>548537744C</v>
      </c>
      <c r="B981" t="str">
        <f t="shared" si="49"/>
        <v>02406911202</v>
      </c>
      <c r="C981" t="s">
        <v>13</v>
      </c>
      <c r="D981" t="s">
        <v>37</v>
      </c>
      <c r="E981" t="s">
        <v>670</v>
      </c>
      <c r="F981" t="s">
        <v>39</v>
      </c>
      <c r="G981" t="str">
        <f>"02645920592"</f>
        <v>02645920592</v>
      </c>
      <c r="I981" t="s">
        <v>648</v>
      </c>
      <c r="L981" t="s">
        <v>41</v>
      </c>
      <c r="M981">
        <v>697935</v>
      </c>
      <c r="AG981">
        <v>607593.18</v>
      </c>
      <c r="AH981" s="1">
        <v>41640</v>
      </c>
      <c r="AI981" s="1">
        <v>42004</v>
      </c>
      <c r="AJ981" s="1">
        <v>41638</v>
      </c>
    </row>
    <row r="982" spans="1:36" ht="15">
      <c r="A982" t="str">
        <f>"5485404A92"</f>
        <v>5485404A92</v>
      </c>
      <c r="B982" t="str">
        <f t="shared" si="49"/>
        <v>02406911202</v>
      </c>
      <c r="C982" t="s">
        <v>13</v>
      </c>
      <c r="D982" t="s">
        <v>37</v>
      </c>
      <c r="E982" t="s">
        <v>670</v>
      </c>
      <c r="F982" t="s">
        <v>39</v>
      </c>
      <c r="G982" t="str">
        <f>"01466740501"</f>
        <v>01466740501</v>
      </c>
      <c r="I982" t="s">
        <v>671</v>
      </c>
      <c r="L982" t="s">
        <v>41</v>
      </c>
      <c r="M982">
        <v>15676</v>
      </c>
      <c r="AG982">
        <v>18005.27</v>
      </c>
      <c r="AH982" s="1">
        <v>41640</v>
      </c>
      <c r="AI982" s="1">
        <v>42004</v>
      </c>
      <c r="AJ982" s="1">
        <v>41638</v>
      </c>
    </row>
    <row r="983" spans="1:36" ht="15">
      <c r="A983" t="str">
        <f>"548542189A"</f>
        <v>548542189A</v>
      </c>
      <c r="B983" t="str">
        <f t="shared" si="49"/>
        <v>02406911202</v>
      </c>
      <c r="C983" t="s">
        <v>13</v>
      </c>
      <c r="D983" t="s">
        <v>37</v>
      </c>
      <c r="E983" t="s">
        <v>670</v>
      </c>
      <c r="F983" t="s">
        <v>39</v>
      </c>
      <c r="G983" t="str">
        <f>"09193481000"</f>
        <v>09193481000</v>
      </c>
      <c r="I983" t="s">
        <v>672</v>
      </c>
      <c r="L983" t="s">
        <v>41</v>
      </c>
      <c r="M983">
        <v>12423</v>
      </c>
      <c r="AG983">
        <v>0</v>
      </c>
      <c r="AH983" s="1">
        <v>41640</v>
      </c>
      <c r="AI983" s="1">
        <v>42004</v>
      </c>
      <c r="AJ983" s="1">
        <v>41638</v>
      </c>
    </row>
    <row r="984" spans="1:36" ht="15">
      <c r="A984" t="str">
        <f>"5485497752"</f>
        <v>5485497752</v>
      </c>
      <c r="B984" t="str">
        <f t="shared" si="49"/>
        <v>02406911202</v>
      </c>
      <c r="C984" t="s">
        <v>13</v>
      </c>
      <c r="D984" t="s">
        <v>37</v>
      </c>
      <c r="E984" t="s">
        <v>670</v>
      </c>
      <c r="F984" t="s">
        <v>39</v>
      </c>
      <c r="G984" t="str">
        <f>"03237200963"</f>
        <v>03237200963</v>
      </c>
      <c r="I984" t="s">
        <v>673</v>
      </c>
      <c r="L984" t="s">
        <v>41</v>
      </c>
      <c r="M984">
        <v>692447</v>
      </c>
      <c r="AG984">
        <v>663272.9</v>
      </c>
      <c r="AH984" s="1">
        <v>41640</v>
      </c>
      <c r="AI984" s="1">
        <v>42004</v>
      </c>
      <c r="AJ984" s="1">
        <v>41638</v>
      </c>
    </row>
    <row r="985" spans="1:36" ht="15">
      <c r="A985" t="str">
        <f>"5485516700"</f>
        <v>5485516700</v>
      </c>
      <c r="B985" t="str">
        <f t="shared" si="49"/>
        <v>02406911202</v>
      </c>
      <c r="C985" t="s">
        <v>13</v>
      </c>
      <c r="D985" t="s">
        <v>37</v>
      </c>
      <c r="E985" t="s">
        <v>670</v>
      </c>
      <c r="F985" t="s">
        <v>39</v>
      </c>
      <c r="G985" t="str">
        <f>"07435060152"</f>
        <v>07435060152</v>
      </c>
      <c r="I985" t="s">
        <v>674</v>
      </c>
      <c r="L985" t="s">
        <v>41</v>
      </c>
      <c r="M985">
        <v>3868</v>
      </c>
      <c r="AG985">
        <v>9240.2</v>
      </c>
      <c r="AH985" s="1">
        <v>41640</v>
      </c>
      <c r="AI985" s="1">
        <v>42004</v>
      </c>
      <c r="AJ985" s="1">
        <v>41638</v>
      </c>
    </row>
    <row r="986" spans="1:36" ht="15">
      <c r="A986" t="str">
        <f>"548555572F"</f>
        <v>548555572F</v>
      </c>
      <c r="B986" t="str">
        <f t="shared" si="49"/>
        <v>02406911202</v>
      </c>
      <c r="C986" t="s">
        <v>13</v>
      </c>
      <c r="D986" t="s">
        <v>37</v>
      </c>
      <c r="E986" t="s">
        <v>670</v>
      </c>
      <c r="F986" t="s">
        <v>39</v>
      </c>
      <c r="G986" t="str">
        <f>"04918311210"</f>
        <v>04918311210</v>
      </c>
      <c r="I986" t="s">
        <v>675</v>
      </c>
      <c r="L986" t="s">
        <v>41</v>
      </c>
      <c r="M986">
        <v>29405</v>
      </c>
      <c r="AG986">
        <v>13144.96</v>
      </c>
      <c r="AH986" s="1">
        <v>41640</v>
      </c>
      <c r="AI986" s="1">
        <v>42004</v>
      </c>
      <c r="AJ986" s="1">
        <v>41638</v>
      </c>
    </row>
    <row r="987" spans="1:36" ht="15">
      <c r="A987" t="str">
        <f>"5485582D75"</f>
        <v>5485582D75</v>
      </c>
      <c r="B987" t="str">
        <f t="shared" si="49"/>
        <v>02406911202</v>
      </c>
      <c r="C987" t="s">
        <v>13</v>
      </c>
      <c r="D987" t="s">
        <v>37</v>
      </c>
      <c r="E987" t="s">
        <v>670</v>
      </c>
      <c r="F987" t="s">
        <v>39</v>
      </c>
      <c r="G987" t="str">
        <f>"01189820689"</f>
        <v>01189820689</v>
      </c>
      <c r="I987" t="s">
        <v>676</v>
      </c>
      <c r="L987" t="s">
        <v>41</v>
      </c>
      <c r="M987">
        <v>2235</v>
      </c>
      <c r="AG987">
        <v>0</v>
      </c>
      <c r="AH987" s="1">
        <v>41640</v>
      </c>
      <c r="AI987" s="1">
        <v>42004</v>
      </c>
      <c r="AJ987" s="1">
        <v>41638</v>
      </c>
    </row>
    <row r="988" spans="1:36" ht="15">
      <c r="A988" t="str">
        <f>"548564731C"</f>
        <v>548564731C</v>
      </c>
      <c r="B988" t="str">
        <f t="shared" si="49"/>
        <v>02406911202</v>
      </c>
      <c r="C988" t="s">
        <v>13</v>
      </c>
      <c r="D988" t="s">
        <v>37</v>
      </c>
      <c r="E988" t="s">
        <v>670</v>
      </c>
      <c r="F988" t="s">
        <v>39</v>
      </c>
      <c r="G988" t="str">
        <f>"00890231004"</f>
        <v>00890231004</v>
      </c>
      <c r="I988" t="s">
        <v>677</v>
      </c>
      <c r="L988" t="s">
        <v>41</v>
      </c>
      <c r="M988">
        <v>20061</v>
      </c>
      <c r="AG988">
        <v>24398.99</v>
      </c>
      <c r="AH988" s="1">
        <v>41640</v>
      </c>
      <c r="AI988" s="1">
        <v>42004</v>
      </c>
      <c r="AJ988" s="1">
        <v>41638</v>
      </c>
    </row>
    <row r="989" spans="1:36" ht="15">
      <c r="A989" t="str">
        <f>"5485675A35"</f>
        <v>5485675A35</v>
      </c>
      <c r="B989" t="str">
        <f t="shared" si="49"/>
        <v>02406911202</v>
      </c>
      <c r="C989" t="s">
        <v>13</v>
      </c>
      <c r="D989" t="s">
        <v>37</v>
      </c>
      <c r="E989" t="s">
        <v>670</v>
      </c>
      <c r="F989" t="s">
        <v>39</v>
      </c>
      <c r="G989" t="str">
        <f>"06037901003"</f>
        <v>06037901003</v>
      </c>
      <c r="I989" t="s">
        <v>177</v>
      </c>
      <c r="L989" t="s">
        <v>41</v>
      </c>
      <c r="M989">
        <v>15693</v>
      </c>
      <c r="AG989">
        <v>18601.37</v>
      </c>
      <c r="AH989" s="1">
        <v>41640</v>
      </c>
      <c r="AI989" s="1">
        <v>42004</v>
      </c>
      <c r="AJ989" s="1">
        <v>41638</v>
      </c>
    </row>
    <row r="990" spans="1:36" ht="15">
      <c r="A990" t="str">
        <f>"54858488F9"</f>
        <v>54858488F9</v>
      </c>
      <c r="B990" t="str">
        <f t="shared" si="49"/>
        <v>02406911202</v>
      </c>
      <c r="C990" t="s">
        <v>13</v>
      </c>
      <c r="D990" t="s">
        <v>37</v>
      </c>
      <c r="E990" t="s">
        <v>670</v>
      </c>
      <c r="F990" t="s">
        <v>39</v>
      </c>
      <c r="G990" t="str">
        <f>"10051170156"</f>
        <v>10051170156</v>
      </c>
      <c r="I990" t="s">
        <v>178</v>
      </c>
      <c r="L990" t="s">
        <v>41</v>
      </c>
      <c r="M990">
        <v>235329</v>
      </c>
      <c r="AG990">
        <v>257635.87</v>
      </c>
      <c r="AH990" s="1">
        <v>41640</v>
      </c>
      <c r="AI990" s="1">
        <v>42004</v>
      </c>
      <c r="AJ990" s="1">
        <v>41638</v>
      </c>
    </row>
    <row r="991" spans="1:36" ht="15">
      <c r="A991" t="str">
        <f>"5485875F3F"</f>
        <v>5485875F3F</v>
      </c>
      <c r="B991" t="str">
        <f t="shared" si="49"/>
        <v>02406911202</v>
      </c>
      <c r="C991" t="s">
        <v>13</v>
      </c>
      <c r="D991" t="s">
        <v>37</v>
      </c>
      <c r="E991" t="s">
        <v>670</v>
      </c>
      <c r="F991" t="s">
        <v>39</v>
      </c>
      <c r="G991" t="str">
        <f>"00789580966"</f>
        <v>00789580966</v>
      </c>
      <c r="I991" t="s">
        <v>678</v>
      </c>
      <c r="L991" t="s">
        <v>41</v>
      </c>
      <c r="M991">
        <v>33673</v>
      </c>
      <c r="AG991">
        <v>20078.75</v>
      </c>
      <c r="AH991" s="1">
        <v>41640</v>
      </c>
      <c r="AI991" s="1">
        <v>42004</v>
      </c>
      <c r="AJ991" s="1">
        <v>41638</v>
      </c>
    </row>
    <row r="992" spans="1:36" ht="15">
      <c r="A992" t="str">
        <f>"548607544E"</f>
        <v>548607544E</v>
      </c>
      <c r="B992" t="str">
        <f t="shared" si="49"/>
        <v>02406911202</v>
      </c>
      <c r="C992" t="s">
        <v>13</v>
      </c>
      <c r="D992" t="s">
        <v>37</v>
      </c>
      <c r="E992" t="s">
        <v>670</v>
      </c>
      <c r="F992" t="s">
        <v>39</v>
      </c>
      <c r="G992" t="str">
        <f>"00735390155"</f>
        <v>00735390155</v>
      </c>
      <c r="I992" t="s">
        <v>76</v>
      </c>
      <c r="L992" t="s">
        <v>41</v>
      </c>
      <c r="M992">
        <v>535066</v>
      </c>
      <c r="AG992">
        <v>485926.16</v>
      </c>
      <c r="AH992" s="1">
        <v>41640</v>
      </c>
      <c r="AI992" s="1">
        <v>42004</v>
      </c>
      <c r="AJ992" s="1">
        <v>41638</v>
      </c>
    </row>
    <row r="993" spans="1:36" ht="15">
      <c r="A993" t="str">
        <f>"5486234783"</f>
        <v>5486234783</v>
      </c>
      <c r="B993" t="str">
        <f t="shared" si="49"/>
        <v>02406911202</v>
      </c>
      <c r="C993" t="s">
        <v>13</v>
      </c>
      <c r="D993" t="s">
        <v>37</v>
      </c>
      <c r="E993" t="s">
        <v>670</v>
      </c>
      <c r="F993" t="s">
        <v>39</v>
      </c>
      <c r="G993" t="str">
        <f>"01258691003"</f>
        <v>01258691003</v>
      </c>
      <c r="I993" t="s">
        <v>679</v>
      </c>
      <c r="L993" t="s">
        <v>41</v>
      </c>
      <c r="M993">
        <v>120012</v>
      </c>
      <c r="AG993">
        <v>116608.73</v>
      </c>
      <c r="AH993" s="1">
        <v>41640</v>
      </c>
      <c r="AI993" s="1">
        <v>42004</v>
      </c>
      <c r="AJ993" s="1">
        <v>41638</v>
      </c>
    </row>
    <row r="994" spans="1:36" ht="15">
      <c r="A994" t="str">
        <f>"548625158B"</f>
        <v>548625158B</v>
      </c>
      <c r="B994" t="str">
        <f t="shared" si="49"/>
        <v>02406911202</v>
      </c>
      <c r="C994" t="s">
        <v>13</v>
      </c>
      <c r="D994" t="s">
        <v>37</v>
      </c>
      <c r="E994" t="s">
        <v>670</v>
      </c>
      <c r="F994" t="s">
        <v>39</v>
      </c>
      <c r="G994" t="str">
        <f>"00907371009"</f>
        <v>00907371009</v>
      </c>
      <c r="I994" t="s">
        <v>680</v>
      </c>
      <c r="L994" t="s">
        <v>41</v>
      </c>
      <c r="M994">
        <v>162620</v>
      </c>
      <c r="AG994">
        <v>158017.12</v>
      </c>
      <c r="AH994" s="1">
        <v>41640</v>
      </c>
      <c r="AI994" s="1">
        <v>42004</v>
      </c>
      <c r="AJ994" s="1">
        <v>41638</v>
      </c>
    </row>
    <row r="995" spans="1:36" ht="15">
      <c r="A995" t="str">
        <f>"5486304149"</f>
        <v>5486304149</v>
      </c>
      <c r="B995" t="str">
        <f t="shared" si="49"/>
        <v>02406911202</v>
      </c>
      <c r="C995" t="s">
        <v>13</v>
      </c>
      <c r="D995" t="s">
        <v>37</v>
      </c>
      <c r="E995" t="s">
        <v>670</v>
      </c>
      <c r="F995" t="s">
        <v>39</v>
      </c>
      <c r="G995" t="str">
        <f>"05849130157"</f>
        <v>05849130157</v>
      </c>
      <c r="I995" t="s">
        <v>549</v>
      </c>
      <c r="L995" t="s">
        <v>41</v>
      </c>
      <c r="M995">
        <v>275271</v>
      </c>
      <c r="AG995">
        <v>278522.61</v>
      </c>
      <c r="AH995" s="1">
        <v>41640</v>
      </c>
      <c r="AI995" s="1">
        <v>42004</v>
      </c>
      <c r="AJ995" s="1">
        <v>41638</v>
      </c>
    </row>
    <row r="996" spans="1:36" ht="15">
      <c r="A996" t="str">
        <f>"5486474D8F"</f>
        <v>5486474D8F</v>
      </c>
      <c r="B996" t="str">
        <f t="shared" si="49"/>
        <v>02406911202</v>
      </c>
      <c r="C996" t="s">
        <v>13</v>
      </c>
      <c r="D996" t="s">
        <v>37</v>
      </c>
      <c r="E996" t="s">
        <v>670</v>
      </c>
      <c r="F996" t="s">
        <v>39</v>
      </c>
      <c r="G996" t="str">
        <f>"05582941000"</f>
        <v>05582941000</v>
      </c>
      <c r="I996" t="s">
        <v>64</v>
      </c>
      <c r="L996" t="s">
        <v>41</v>
      </c>
      <c r="M996">
        <v>40363</v>
      </c>
      <c r="AG996">
        <v>41715.78</v>
      </c>
      <c r="AH996" s="1">
        <v>41640</v>
      </c>
      <c r="AI996" s="1">
        <v>42004</v>
      </c>
      <c r="AJ996" s="1">
        <v>41638</v>
      </c>
    </row>
    <row r="997" spans="1:36" ht="15">
      <c r="A997" t="str">
        <f>"5486499234"</f>
        <v>5486499234</v>
      </c>
      <c r="B997" t="str">
        <f t="shared" si="49"/>
        <v>02406911202</v>
      </c>
      <c r="C997" t="s">
        <v>13</v>
      </c>
      <c r="D997" t="s">
        <v>37</v>
      </c>
      <c r="E997" t="s">
        <v>670</v>
      </c>
      <c r="F997" t="s">
        <v>39</v>
      </c>
      <c r="G997" t="str">
        <f>"03663160962"</f>
        <v>03663160962</v>
      </c>
      <c r="I997" t="s">
        <v>419</v>
      </c>
      <c r="L997" t="s">
        <v>41</v>
      </c>
      <c r="M997">
        <v>740077</v>
      </c>
      <c r="AG997">
        <v>1098742.44</v>
      </c>
      <c r="AH997" s="1">
        <v>41640</v>
      </c>
      <c r="AI997" s="1">
        <v>42004</v>
      </c>
      <c r="AJ997" s="1">
        <v>41638</v>
      </c>
    </row>
    <row r="998" spans="1:36" ht="15">
      <c r="A998" t="str">
        <f>"5486535FE5"</f>
        <v>5486535FE5</v>
      </c>
      <c r="B998" t="str">
        <f t="shared" si="49"/>
        <v>02406911202</v>
      </c>
      <c r="C998" t="s">
        <v>13</v>
      </c>
      <c r="D998" t="s">
        <v>37</v>
      </c>
      <c r="E998" t="s">
        <v>670</v>
      </c>
      <c r="F998" t="s">
        <v>39</v>
      </c>
      <c r="G998" t="str">
        <f>"00421210485"</f>
        <v>00421210485</v>
      </c>
      <c r="I998" t="s">
        <v>464</v>
      </c>
      <c r="L998" t="s">
        <v>41</v>
      </c>
      <c r="M998">
        <v>552333</v>
      </c>
      <c r="AG998">
        <v>388704.18</v>
      </c>
      <c r="AH998" s="1">
        <v>41640</v>
      </c>
      <c r="AI998" s="1">
        <v>42004</v>
      </c>
      <c r="AJ998" s="1">
        <v>41638</v>
      </c>
    </row>
    <row r="999" spans="1:36" ht="15">
      <c r="A999" t="str">
        <f>"5486591E1C"</f>
        <v>5486591E1C</v>
      </c>
      <c r="B999" t="str">
        <f t="shared" si="49"/>
        <v>02406911202</v>
      </c>
      <c r="C999" t="s">
        <v>13</v>
      </c>
      <c r="D999" t="s">
        <v>37</v>
      </c>
      <c r="E999" t="s">
        <v>670</v>
      </c>
      <c r="F999" t="s">
        <v>39</v>
      </c>
      <c r="G999" t="str">
        <f>"01726510595"</f>
        <v>01726510595</v>
      </c>
      <c r="I999" t="s">
        <v>681</v>
      </c>
      <c r="L999" t="s">
        <v>41</v>
      </c>
      <c r="M999">
        <v>1206978</v>
      </c>
      <c r="AG999">
        <v>1097598.92</v>
      </c>
      <c r="AH999" s="1">
        <v>41640</v>
      </c>
      <c r="AI999" s="1">
        <v>42004</v>
      </c>
      <c r="AJ999" s="1">
        <v>41638</v>
      </c>
    </row>
    <row r="1000" spans="1:36" ht="15">
      <c r="A1000" t="str">
        <f>"548665314A"</f>
        <v>548665314A</v>
      </c>
      <c r="B1000" t="str">
        <f t="shared" si="49"/>
        <v>02406911202</v>
      </c>
      <c r="C1000" t="s">
        <v>13</v>
      </c>
      <c r="D1000" t="s">
        <v>37</v>
      </c>
      <c r="E1000" t="s">
        <v>670</v>
      </c>
      <c r="F1000" t="s">
        <v>39</v>
      </c>
      <c r="G1000" t="str">
        <f>"05038691001"</f>
        <v>05038691001</v>
      </c>
      <c r="I1000" t="s">
        <v>682</v>
      </c>
      <c r="L1000" t="s">
        <v>41</v>
      </c>
      <c r="M1000">
        <v>21082</v>
      </c>
      <c r="AG1000">
        <v>20070.36</v>
      </c>
      <c r="AH1000" s="1">
        <v>41640</v>
      </c>
      <c r="AI1000" s="1">
        <v>42004</v>
      </c>
      <c r="AJ1000" s="1">
        <v>41638</v>
      </c>
    </row>
    <row r="1001" spans="1:36" ht="15">
      <c r="A1001" t="str">
        <f>"5486801B69"</f>
        <v>5486801B69</v>
      </c>
      <c r="B1001" t="str">
        <f t="shared" si="49"/>
        <v>02406911202</v>
      </c>
      <c r="C1001" t="s">
        <v>13</v>
      </c>
      <c r="D1001" t="s">
        <v>37</v>
      </c>
      <c r="E1001" t="s">
        <v>670</v>
      </c>
      <c r="F1001" t="s">
        <v>39</v>
      </c>
      <c r="G1001" t="str">
        <f>"04947170967"</f>
        <v>04947170967</v>
      </c>
      <c r="I1001" t="s">
        <v>67</v>
      </c>
      <c r="L1001" t="s">
        <v>41</v>
      </c>
      <c r="M1001">
        <v>62770</v>
      </c>
      <c r="AG1001">
        <v>107760.32</v>
      </c>
      <c r="AH1001" s="1">
        <v>41640</v>
      </c>
      <c r="AI1001" s="1">
        <v>42004</v>
      </c>
      <c r="AJ1001" s="1">
        <v>41638</v>
      </c>
    </row>
    <row r="1002" spans="1:36" ht="15">
      <c r="A1002" t="str">
        <f>"5486854727"</f>
        <v>5486854727</v>
      </c>
      <c r="B1002" t="str">
        <f t="shared" si="49"/>
        <v>02406911202</v>
      </c>
      <c r="C1002" t="s">
        <v>13</v>
      </c>
      <c r="D1002" t="s">
        <v>37</v>
      </c>
      <c r="E1002" t="s">
        <v>670</v>
      </c>
      <c r="F1002" t="s">
        <v>39</v>
      </c>
      <c r="G1002" t="str">
        <f>"01513360345"</f>
        <v>01513360345</v>
      </c>
      <c r="I1002" t="s">
        <v>683</v>
      </c>
      <c r="L1002" t="s">
        <v>41</v>
      </c>
      <c r="M1002">
        <v>96388</v>
      </c>
      <c r="AG1002">
        <v>105648.02</v>
      </c>
      <c r="AH1002" s="1">
        <v>41640</v>
      </c>
      <c r="AI1002" s="1">
        <v>42004</v>
      </c>
      <c r="AJ1002" s="1">
        <v>41638</v>
      </c>
    </row>
    <row r="1003" spans="1:36" ht="15">
      <c r="A1003" t="str">
        <f>"5486887264"</f>
        <v>5486887264</v>
      </c>
      <c r="B1003" t="str">
        <f t="shared" si="49"/>
        <v>02406911202</v>
      </c>
      <c r="C1003" t="s">
        <v>13</v>
      </c>
      <c r="D1003" t="s">
        <v>37</v>
      </c>
      <c r="E1003" t="s">
        <v>670</v>
      </c>
      <c r="F1003" t="s">
        <v>39</v>
      </c>
      <c r="G1003" t="str">
        <f>"02344710484"</f>
        <v>02344710484</v>
      </c>
      <c r="I1003" t="s">
        <v>684</v>
      </c>
      <c r="L1003" t="s">
        <v>41</v>
      </c>
      <c r="M1003">
        <v>89611</v>
      </c>
      <c r="AG1003">
        <v>80612.25</v>
      </c>
      <c r="AH1003" s="1">
        <v>41640</v>
      </c>
      <c r="AI1003" s="1">
        <v>42004</v>
      </c>
      <c r="AJ1003" s="1">
        <v>41638</v>
      </c>
    </row>
    <row r="1004" spans="1:36" ht="15">
      <c r="A1004" t="str">
        <f>"54869240ED"</f>
        <v>54869240ED</v>
      </c>
      <c r="B1004" t="str">
        <f t="shared" si="49"/>
        <v>02406911202</v>
      </c>
      <c r="C1004" t="s">
        <v>13</v>
      </c>
      <c r="D1004" t="s">
        <v>37</v>
      </c>
      <c r="E1004" t="s">
        <v>670</v>
      </c>
      <c r="F1004" t="s">
        <v>39</v>
      </c>
      <c r="G1004" t="str">
        <f>"04732240967"</f>
        <v>04732240967</v>
      </c>
      <c r="I1004" t="s">
        <v>82</v>
      </c>
      <c r="L1004" t="s">
        <v>41</v>
      </c>
      <c r="M1004">
        <v>72121</v>
      </c>
      <c r="AG1004">
        <v>94019.69</v>
      </c>
      <c r="AH1004" s="1">
        <v>41640</v>
      </c>
      <c r="AI1004" s="1">
        <v>42004</v>
      </c>
      <c r="AJ1004" s="1">
        <v>41638</v>
      </c>
    </row>
    <row r="1005" spans="1:36" ht="15">
      <c r="A1005" t="str">
        <f>"5487072B0C"</f>
        <v>5487072B0C</v>
      </c>
      <c r="B1005" t="str">
        <f t="shared" si="49"/>
        <v>02406911202</v>
      </c>
      <c r="C1005" t="s">
        <v>13</v>
      </c>
      <c r="D1005" t="s">
        <v>37</v>
      </c>
      <c r="E1005" t="s">
        <v>670</v>
      </c>
      <c r="F1005" t="s">
        <v>39</v>
      </c>
      <c r="G1005" t="str">
        <f>"00426150488"</f>
        <v>00426150488</v>
      </c>
      <c r="I1005" t="s">
        <v>63</v>
      </c>
      <c r="L1005" t="s">
        <v>41</v>
      </c>
      <c r="M1005">
        <v>880604</v>
      </c>
      <c r="AG1005">
        <v>743545.76</v>
      </c>
      <c r="AH1005" s="1">
        <v>41640</v>
      </c>
      <c r="AI1005" s="1">
        <v>42004</v>
      </c>
      <c r="AJ1005" s="1">
        <v>41638</v>
      </c>
    </row>
    <row r="1006" spans="1:36" ht="15">
      <c r="A1006" t="str">
        <f>"5487112C0E"</f>
        <v>5487112C0E</v>
      </c>
      <c r="B1006" t="str">
        <f t="shared" si="49"/>
        <v>02406911202</v>
      </c>
      <c r="C1006" t="s">
        <v>13</v>
      </c>
      <c r="D1006" t="s">
        <v>37</v>
      </c>
      <c r="E1006" t="s">
        <v>670</v>
      </c>
      <c r="F1006" t="s">
        <v>39</v>
      </c>
      <c r="G1006" t="str">
        <f>"03296950151"</f>
        <v>03296950151</v>
      </c>
      <c r="I1006" t="s">
        <v>685</v>
      </c>
      <c r="L1006" t="s">
        <v>41</v>
      </c>
      <c r="M1006">
        <v>3335</v>
      </c>
      <c r="AG1006">
        <v>4300.76</v>
      </c>
      <c r="AH1006" s="1">
        <v>41640</v>
      </c>
      <c r="AI1006" s="1">
        <v>42004</v>
      </c>
      <c r="AJ1006" s="1">
        <v>41638</v>
      </c>
    </row>
    <row r="1007" spans="1:36" ht="15">
      <c r="A1007" t="str">
        <f>"5487171CBE"</f>
        <v>5487171CBE</v>
      </c>
      <c r="B1007" t="str">
        <f t="shared" si="49"/>
        <v>02406911202</v>
      </c>
      <c r="C1007" t="s">
        <v>13</v>
      </c>
      <c r="D1007" t="s">
        <v>37</v>
      </c>
      <c r="E1007" t="s">
        <v>670</v>
      </c>
      <c r="F1007" t="s">
        <v>39</v>
      </c>
      <c r="G1007" t="str">
        <f>"03617810878"</f>
        <v>03617810878</v>
      </c>
      <c r="I1007" t="s">
        <v>57</v>
      </c>
      <c r="L1007" t="s">
        <v>41</v>
      </c>
      <c r="M1007">
        <v>193</v>
      </c>
      <c r="AG1007">
        <v>0</v>
      </c>
      <c r="AH1007" s="1">
        <v>41640</v>
      </c>
      <c r="AI1007" s="1">
        <v>42004</v>
      </c>
      <c r="AJ1007" s="1">
        <v>41638</v>
      </c>
    </row>
    <row r="1008" spans="1:36" ht="15">
      <c r="A1008" t="str">
        <f>"54872237A9"</f>
        <v>54872237A9</v>
      </c>
      <c r="B1008" t="str">
        <f t="shared" si="49"/>
        <v>02406911202</v>
      </c>
      <c r="C1008" t="s">
        <v>13</v>
      </c>
      <c r="D1008" t="s">
        <v>37</v>
      </c>
      <c r="E1008" t="s">
        <v>670</v>
      </c>
      <c r="F1008" t="s">
        <v>39</v>
      </c>
      <c r="G1008" t="str">
        <f>"01271090381"</f>
        <v>01271090381</v>
      </c>
      <c r="I1008" t="s">
        <v>686</v>
      </c>
      <c r="L1008" t="s">
        <v>41</v>
      </c>
      <c r="M1008">
        <v>229</v>
      </c>
      <c r="AG1008">
        <v>171.2</v>
      </c>
      <c r="AH1008" s="1">
        <v>41640</v>
      </c>
      <c r="AI1008" s="1">
        <v>42004</v>
      </c>
      <c r="AJ1008" s="1">
        <v>41638</v>
      </c>
    </row>
    <row r="1009" spans="1:36" ht="15">
      <c r="A1009" t="str">
        <f>"5487268CCA"</f>
        <v>5487268CCA</v>
      </c>
      <c r="B1009" t="str">
        <f t="shared" si="49"/>
        <v>02406911202</v>
      </c>
      <c r="C1009" t="s">
        <v>13</v>
      </c>
      <c r="D1009" t="s">
        <v>37</v>
      </c>
      <c r="E1009" t="s">
        <v>670</v>
      </c>
      <c r="F1009" t="s">
        <v>39</v>
      </c>
      <c r="G1009" t="str">
        <f>"01589970506"</f>
        <v>01589970506</v>
      </c>
      <c r="I1009" t="s">
        <v>687</v>
      </c>
      <c r="L1009" t="s">
        <v>41</v>
      </c>
      <c r="M1009">
        <v>10651</v>
      </c>
      <c r="AG1009">
        <v>15348.51</v>
      </c>
      <c r="AH1009" s="1">
        <v>41640</v>
      </c>
      <c r="AI1009" s="1">
        <v>42004</v>
      </c>
      <c r="AJ1009" s="1">
        <v>41638</v>
      </c>
    </row>
    <row r="1010" spans="1:36" ht="15">
      <c r="A1010" t="str">
        <f>"5487644316"</f>
        <v>5487644316</v>
      </c>
      <c r="B1010" t="str">
        <f t="shared" si="49"/>
        <v>02406911202</v>
      </c>
      <c r="C1010" t="s">
        <v>13</v>
      </c>
      <c r="D1010" t="s">
        <v>37</v>
      </c>
      <c r="E1010" t="s">
        <v>670</v>
      </c>
      <c r="F1010" t="s">
        <v>39</v>
      </c>
      <c r="G1010" t="str">
        <f>"07676940153"</f>
        <v>07676940153</v>
      </c>
      <c r="I1010" t="s">
        <v>688</v>
      </c>
      <c r="L1010" t="s">
        <v>41</v>
      </c>
      <c r="M1010">
        <v>1271627</v>
      </c>
      <c r="AG1010">
        <v>243229.23</v>
      </c>
      <c r="AH1010" s="1">
        <v>41640</v>
      </c>
      <c r="AI1010" s="1">
        <v>42004</v>
      </c>
      <c r="AJ1010" s="1">
        <v>41638</v>
      </c>
    </row>
    <row r="1011" spans="1:36" ht="15">
      <c r="A1011" t="str">
        <f>"5487673B02"</f>
        <v>5487673B02</v>
      </c>
      <c r="B1011" t="str">
        <f t="shared" si="49"/>
        <v>02406911202</v>
      </c>
      <c r="C1011" t="s">
        <v>13</v>
      </c>
      <c r="D1011" t="s">
        <v>37</v>
      </c>
      <c r="E1011" t="s">
        <v>670</v>
      </c>
      <c r="F1011" t="s">
        <v>39</v>
      </c>
      <c r="G1011" t="str">
        <f>"02580140651"</f>
        <v>02580140651</v>
      </c>
      <c r="I1011" t="s">
        <v>689</v>
      </c>
      <c r="L1011" t="s">
        <v>41</v>
      </c>
      <c r="M1011">
        <v>45</v>
      </c>
      <c r="AG1011">
        <v>0</v>
      </c>
      <c r="AH1011" s="1">
        <v>41640</v>
      </c>
      <c r="AI1011" s="1">
        <v>42004</v>
      </c>
      <c r="AJ1011" s="1">
        <v>41638</v>
      </c>
    </row>
    <row r="1012" spans="1:36" ht="15">
      <c r="A1012" t="str">
        <f>"5487832E37"</f>
        <v>5487832E37</v>
      </c>
      <c r="B1012" t="str">
        <f t="shared" si="49"/>
        <v>02406911202</v>
      </c>
      <c r="C1012" t="s">
        <v>13</v>
      </c>
      <c r="D1012" t="s">
        <v>37</v>
      </c>
      <c r="E1012" t="s">
        <v>670</v>
      </c>
      <c r="F1012" t="s">
        <v>39</v>
      </c>
      <c r="G1012" t="str">
        <f>"03524050238"</f>
        <v>03524050238</v>
      </c>
      <c r="I1012" t="s">
        <v>638</v>
      </c>
      <c r="L1012" t="s">
        <v>41</v>
      </c>
      <c r="M1012">
        <v>9736</v>
      </c>
      <c r="AG1012">
        <v>15808.8</v>
      </c>
      <c r="AH1012" s="1">
        <v>41640</v>
      </c>
      <c r="AI1012" s="1">
        <v>42004</v>
      </c>
      <c r="AJ1012" s="1">
        <v>41638</v>
      </c>
    </row>
    <row r="1013" spans="1:36" ht="15">
      <c r="A1013" t="str">
        <f>"54878037CE"</f>
        <v>54878037CE</v>
      </c>
      <c r="B1013" t="str">
        <f t="shared" si="49"/>
        <v>02406911202</v>
      </c>
      <c r="C1013" t="s">
        <v>13</v>
      </c>
      <c r="D1013" t="s">
        <v>37</v>
      </c>
      <c r="E1013" t="s">
        <v>670</v>
      </c>
      <c r="F1013" t="s">
        <v>39</v>
      </c>
      <c r="G1013" t="str">
        <f>"00931170195"</f>
        <v>00931170195</v>
      </c>
      <c r="I1013" t="s">
        <v>79</v>
      </c>
      <c r="L1013" t="s">
        <v>41</v>
      </c>
      <c r="M1013">
        <v>19800</v>
      </c>
      <c r="AG1013">
        <v>0</v>
      </c>
      <c r="AH1013" s="1">
        <v>41640</v>
      </c>
      <c r="AI1013" s="1">
        <v>42004</v>
      </c>
      <c r="AJ1013" s="1">
        <v>41638</v>
      </c>
    </row>
    <row r="1014" spans="1:36" ht="15">
      <c r="A1014" t="str">
        <f>"5487892FBA"</f>
        <v>5487892FBA</v>
      </c>
      <c r="B1014" t="str">
        <f t="shared" si="49"/>
        <v>02406911202</v>
      </c>
      <c r="C1014" t="s">
        <v>13</v>
      </c>
      <c r="D1014" t="s">
        <v>37</v>
      </c>
      <c r="E1014" t="s">
        <v>670</v>
      </c>
      <c r="F1014" t="s">
        <v>39</v>
      </c>
      <c r="G1014" t="str">
        <f>"11187430159"</f>
        <v>11187430159</v>
      </c>
      <c r="I1014" t="s">
        <v>690</v>
      </c>
      <c r="L1014" t="s">
        <v>41</v>
      </c>
      <c r="M1014">
        <v>3362247</v>
      </c>
      <c r="AG1014">
        <v>2776812.28</v>
      </c>
      <c r="AH1014" s="1">
        <v>41640</v>
      </c>
      <c r="AI1014" s="1">
        <v>42004</v>
      </c>
      <c r="AJ1014" s="1">
        <v>41638</v>
      </c>
    </row>
    <row r="1015" spans="1:36" ht="15">
      <c r="A1015" t="str">
        <f>"5487908CEF"</f>
        <v>5487908CEF</v>
      </c>
      <c r="B1015" t="str">
        <f t="shared" si="49"/>
        <v>02406911202</v>
      </c>
      <c r="C1015" t="s">
        <v>13</v>
      </c>
      <c r="D1015" t="s">
        <v>37</v>
      </c>
      <c r="E1015" t="s">
        <v>670</v>
      </c>
      <c r="F1015" t="s">
        <v>39</v>
      </c>
      <c r="G1015" t="str">
        <f>"00212840235"</f>
        <v>00212840235</v>
      </c>
      <c r="I1015" t="s">
        <v>691</v>
      </c>
      <c r="L1015" t="s">
        <v>41</v>
      </c>
      <c r="M1015">
        <v>397541</v>
      </c>
      <c r="AG1015">
        <v>0</v>
      </c>
      <c r="AH1015" s="1">
        <v>41640</v>
      </c>
      <c r="AI1015" s="1">
        <v>42004</v>
      </c>
      <c r="AJ1015" s="1">
        <v>41638</v>
      </c>
    </row>
    <row r="1016" spans="1:36" ht="15">
      <c r="A1016" t="str">
        <f>"5487933194"</f>
        <v>5487933194</v>
      </c>
      <c r="B1016" t="str">
        <f t="shared" si="49"/>
        <v>02406911202</v>
      </c>
      <c r="C1016" t="s">
        <v>13</v>
      </c>
      <c r="D1016" t="s">
        <v>37</v>
      </c>
      <c r="E1016" t="s">
        <v>670</v>
      </c>
      <c r="F1016" t="s">
        <v>39</v>
      </c>
      <c r="G1016" t="str">
        <f>"04485620159"</f>
        <v>04485620159</v>
      </c>
      <c r="I1016" t="s">
        <v>692</v>
      </c>
      <c r="L1016" t="s">
        <v>41</v>
      </c>
      <c r="M1016">
        <v>17480</v>
      </c>
      <c r="AG1016">
        <v>23130.59</v>
      </c>
      <c r="AH1016" s="1">
        <v>41640</v>
      </c>
      <c r="AI1016" s="1">
        <v>42004</v>
      </c>
      <c r="AJ1016" s="1">
        <v>41638</v>
      </c>
    </row>
    <row r="1017" spans="1:36" ht="15">
      <c r="A1017" t="str">
        <f>"5487947D1E"</f>
        <v>5487947D1E</v>
      </c>
      <c r="B1017" t="str">
        <f t="shared" si="49"/>
        <v>02406911202</v>
      </c>
      <c r="C1017" t="s">
        <v>13</v>
      </c>
      <c r="D1017" t="s">
        <v>37</v>
      </c>
      <c r="E1017" t="s">
        <v>670</v>
      </c>
      <c r="F1017" t="s">
        <v>39</v>
      </c>
      <c r="G1017" t="str">
        <f>"03841180106"</f>
        <v>03841180106</v>
      </c>
      <c r="I1017" t="s">
        <v>693</v>
      </c>
      <c r="L1017" t="s">
        <v>41</v>
      </c>
      <c r="M1017">
        <v>53</v>
      </c>
      <c r="AG1017">
        <v>0</v>
      </c>
      <c r="AH1017" s="1">
        <v>41640</v>
      </c>
      <c r="AI1017" s="1">
        <v>42004</v>
      </c>
      <c r="AJ1017" s="1">
        <v>41638</v>
      </c>
    </row>
    <row r="1018" spans="1:36" ht="15">
      <c r="A1018" t="str">
        <f>"5487958634"</f>
        <v>5487958634</v>
      </c>
      <c r="B1018" t="str">
        <f t="shared" si="49"/>
        <v>02406911202</v>
      </c>
      <c r="C1018" t="s">
        <v>13</v>
      </c>
      <c r="D1018" t="s">
        <v>37</v>
      </c>
      <c r="E1018" t="s">
        <v>670</v>
      </c>
      <c r="F1018" t="s">
        <v>39</v>
      </c>
      <c r="H1018" t="str">
        <f>"GB873342418"</f>
        <v>GB873342418</v>
      </c>
      <c r="I1018" t="s">
        <v>694</v>
      </c>
      <c r="L1018" t="s">
        <v>41</v>
      </c>
      <c r="M1018">
        <v>55200</v>
      </c>
      <c r="AG1018">
        <v>51645.45</v>
      </c>
      <c r="AH1018" s="1">
        <v>41640</v>
      </c>
      <c r="AI1018" s="1">
        <v>42004</v>
      </c>
      <c r="AJ1018" s="1">
        <v>41638</v>
      </c>
    </row>
    <row r="1019" spans="1:36" ht="15">
      <c r="A1019" t="str">
        <f>"548798085B"</f>
        <v>548798085B</v>
      </c>
      <c r="B1019" t="str">
        <f t="shared" si="49"/>
        <v>02406911202</v>
      </c>
      <c r="C1019" t="s">
        <v>13</v>
      </c>
      <c r="D1019" t="s">
        <v>37</v>
      </c>
      <c r="E1019" t="s">
        <v>670</v>
      </c>
      <c r="F1019" t="s">
        <v>39</v>
      </c>
      <c r="G1019" t="str">
        <f>"02292260599"</f>
        <v>02292260599</v>
      </c>
      <c r="I1019" t="s">
        <v>56</v>
      </c>
      <c r="L1019" t="s">
        <v>41</v>
      </c>
      <c r="M1019">
        <v>22029</v>
      </c>
      <c r="AG1019">
        <v>17493</v>
      </c>
      <c r="AH1019" s="1">
        <v>41640</v>
      </c>
      <c r="AI1019" s="1">
        <v>42004</v>
      </c>
      <c r="AJ1019" s="1">
        <v>41638</v>
      </c>
    </row>
    <row r="1020" spans="1:36" ht="15">
      <c r="A1020" t="str">
        <f>"5488006DCE"</f>
        <v>5488006DCE</v>
      </c>
      <c r="B1020" t="str">
        <f t="shared" si="49"/>
        <v>02406911202</v>
      </c>
      <c r="C1020" t="s">
        <v>13</v>
      </c>
      <c r="D1020" t="s">
        <v>37</v>
      </c>
      <c r="E1020" t="s">
        <v>670</v>
      </c>
      <c r="F1020" t="s">
        <v>39</v>
      </c>
      <c r="G1020" t="str">
        <f>"06645680965"</f>
        <v>06645680965</v>
      </c>
      <c r="I1020" t="s">
        <v>695</v>
      </c>
      <c r="L1020" t="s">
        <v>41</v>
      </c>
      <c r="M1020">
        <v>10722</v>
      </c>
      <c r="AG1020">
        <v>4824.81</v>
      </c>
      <c r="AH1020" s="1">
        <v>41640</v>
      </c>
      <c r="AI1020" s="1">
        <v>42004</v>
      </c>
      <c r="AJ1020" s="1">
        <v>41638</v>
      </c>
    </row>
    <row r="1021" spans="1:36" ht="15">
      <c r="A1021" t="str">
        <f>"54880187B7"</f>
        <v>54880187B7</v>
      </c>
      <c r="B1021" t="str">
        <f t="shared" si="49"/>
        <v>02406911202</v>
      </c>
      <c r="C1021" t="s">
        <v>13</v>
      </c>
      <c r="D1021" t="s">
        <v>37</v>
      </c>
      <c r="E1021" t="s">
        <v>670</v>
      </c>
      <c r="F1021" t="s">
        <v>39</v>
      </c>
      <c r="G1021" t="str">
        <f>"10616310156"</f>
        <v>10616310156</v>
      </c>
      <c r="I1021" t="s">
        <v>696</v>
      </c>
      <c r="L1021" t="s">
        <v>41</v>
      </c>
      <c r="M1021">
        <v>996</v>
      </c>
      <c r="AG1021">
        <v>63.37</v>
      </c>
      <c r="AH1021" s="1">
        <v>41640</v>
      </c>
      <c r="AI1021" s="1">
        <v>42004</v>
      </c>
      <c r="AJ1021" s="1">
        <v>41638</v>
      </c>
    </row>
    <row r="1022" spans="1:36" ht="15">
      <c r="A1022" t="str">
        <f>"5488071375"</f>
        <v>5488071375</v>
      </c>
      <c r="B1022" t="str">
        <f t="shared" si="49"/>
        <v>02406911202</v>
      </c>
      <c r="C1022" t="s">
        <v>13</v>
      </c>
      <c r="D1022" t="s">
        <v>37</v>
      </c>
      <c r="E1022" t="s">
        <v>670</v>
      </c>
      <c r="F1022" t="s">
        <v>39</v>
      </c>
      <c r="G1022" t="str">
        <f>"02452050608"</f>
        <v>02452050608</v>
      </c>
      <c r="I1022" t="s">
        <v>697</v>
      </c>
      <c r="L1022" t="s">
        <v>41</v>
      </c>
      <c r="M1022">
        <v>197</v>
      </c>
      <c r="AG1022">
        <v>789.6</v>
      </c>
      <c r="AH1022" s="1">
        <v>41640</v>
      </c>
      <c r="AI1022" s="1">
        <v>42004</v>
      </c>
      <c r="AJ1022" s="1">
        <v>41638</v>
      </c>
    </row>
    <row r="1023" spans="1:36" ht="15">
      <c r="A1023" t="str">
        <f>"5488086FD2"</f>
        <v>5488086FD2</v>
      </c>
      <c r="B1023" t="str">
        <f t="shared" si="49"/>
        <v>02406911202</v>
      </c>
      <c r="C1023" t="s">
        <v>13</v>
      </c>
      <c r="D1023" t="s">
        <v>37</v>
      </c>
      <c r="E1023" t="s">
        <v>670</v>
      </c>
      <c r="F1023" t="s">
        <v>39</v>
      </c>
      <c r="G1023" t="str">
        <f>"13206920152"</f>
        <v>13206920152</v>
      </c>
      <c r="I1023" t="s">
        <v>698</v>
      </c>
      <c r="L1023" t="s">
        <v>41</v>
      </c>
      <c r="M1023">
        <v>4098</v>
      </c>
      <c r="AG1023">
        <v>4368</v>
      </c>
      <c r="AH1023" s="1">
        <v>41640</v>
      </c>
      <c r="AI1023" s="1">
        <v>42004</v>
      </c>
      <c r="AJ1023" s="1">
        <v>41638</v>
      </c>
    </row>
    <row r="1024" spans="1:36" ht="15">
      <c r="A1024" t="str">
        <f>"548814722D"</f>
        <v>548814722D</v>
      </c>
      <c r="B1024" t="str">
        <f t="shared" si="49"/>
        <v>02406911202</v>
      </c>
      <c r="C1024" t="s">
        <v>13</v>
      </c>
      <c r="D1024" t="s">
        <v>37</v>
      </c>
      <c r="E1024" t="s">
        <v>670</v>
      </c>
      <c r="F1024" t="s">
        <v>39</v>
      </c>
      <c r="G1024" t="str">
        <f>"07161740159"</f>
        <v>07161740159</v>
      </c>
      <c r="I1024" t="s">
        <v>699</v>
      </c>
      <c r="L1024" t="s">
        <v>41</v>
      </c>
      <c r="M1024">
        <v>125151</v>
      </c>
      <c r="AG1024">
        <v>134421.42</v>
      </c>
      <c r="AH1024" s="1">
        <v>41640</v>
      </c>
      <c r="AI1024" s="1">
        <v>42004</v>
      </c>
      <c r="AJ1024" s="1">
        <v>41638</v>
      </c>
    </row>
    <row r="1025" spans="1:36" ht="15">
      <c r="A1025" t="str">
        <f>"5488163F5D"</f>
        <v>5488163F5D</v>
      </c>
      <c r="B1025" t="str">
        <f t="shared" si="49"/>
        <v>02406911202</v>
      </c>
      <c r="C1025" t="s">
        <v>13</v>
      </c>
      <c r="D1025" t="s">
        <v>37</v>
      </c>
      <c r="E1025" t="s">
        <v>670</v>
      </c>
      <c r="F1025" t="s">
        <v>39</v>
      </c>
      <c r="G1025" t="str">
        <f>"11902030151"</f>
        <v>11902030151</v>
      </c>
      <c r="I1025" t="s">
        <v>121</v>
      </c>
      <c r="L1025" t="s">
        <v>41</v>
      </c>
      <c r="M1025">
        <v>245</v>
      </c>
      <c r="AG1025">
        <v>74.88</v>
      </c>
      <c r="AH1025" s="1">
        <v>41640</v>
      </c>
      <c r="AI1025" s="1">
        <v>42004</v>
      </c>
      <c r="AJ1025" s="1">
        <v>41638</v>
      </c>
    </row>
    <row r="1026" spans="1:36" ht="15">
      <c r="A1026" t="str">
        <f>"5488177AEC"</f>
        <v>5488177AEC</v>
      </c>
      <c r="B1026" t="str">
        <f aca="true" t="shared" si="51" ref="B1026:B1089">"02406911202"</f>
        <v>02406911202</v>
      </c>
      <c r="C1026" t="s">
        <v>13</v>
      </c>
      <c r="D1026" t="s">
        <v>37</v>
      </c>
      <c r="E1026" t="s">
        <v>670</v>
      </c>
      <c r="F1026" t="s">
        <v>39</v>
      </c>
      <c r="G1026" t="str">
        <f>"00737420158"</f>
        <v>00737420158</v>
      </c>
      <c r="I1026" t="s">
        <v>179</v>
      </c>
      <c r="L1026" t="s">
        <v>41</v>
      </c>
      <c r="M1026">
        <v>37929</v>
      </c>
      <c r="AG1026">
        <v>7740.5</v>
      </c>
      <c r="AH1026" s="1">
        <v>41640</v>
      </c>
      <c r="AI1026" s="1">
        <v>42004</v>
      </c>
      <c r="AJ1026" s="1">
        <v>41638</v>
      </c>
    </row>
    <row r="1027" spans="1:36" ht="15">
      <c r="A1027" t="str">
        <f>"54882073B0"</f>
        <v>54882073B0</v>
      </c>
      <c r="B1027" t="str">
        <f t="shared" si="51"/>
        <v>02406911202</v>
      </c>
      <c r="C1027" t="s">
        <v>13</v>
      </c>
      <c r="D1027" t="s">
        <v>37</v>
      </c>
      <c r="E1027" t="s">
        <v>670</v>
      </c>
      <c r="F1027" t="s">
        <v>39</v>
      </c>
      <c r="G1027" t="str">
        <f>"02707070963"</f>
        <v>02707070963</v>
      </c>
      <c r="I1027" t="s">
        <v>536</v>
      </c>
      <c r="L1027" t="s">
        <v>41</v>
      </c>
      <c r="M1027">
        <v>1393176</v>
      </c>
      <c r="AG1027">
        <v>928292.95</v>
      </c>
      <c r="AH1027" s="1">
        <v>41640</v>
      </c>
      <c r="AI1027" s="1">
        <v>42004</v>
      </c>
      <c r="AJ1027" s="1">
        <v>41638</v>
      </c>
    </row>
    <row r="1028" spans="1:36" ht="15">
      <c r="A1028" t="str">
        <f>"5488221F3A"</f>
        <v>5488221F3A</v>
      </c>
      <c r="B1028" t="str">
        <f t="shared" si="51"/>
        <v>02406911202</v>
      </c>
      <c r="C1028" t="s">
        <v>13</v>
      </c>
      <c r="D1028" t="s">
        <v>37</v>
      </c>
      <c r="E1028" t="s">
        <v>670</v>
      </c>
      <c r="F1028" t="s">
        <v>39</v>
      </c>
      <c r="G1028" t="str">
        <f>"01779530466"</f>
        <v>01779530466</v>
      </c>
      <c r="I1028" t="s">
        <v>700</v>
      </c>
      <c r="L1028" t="s">
        <v>41</v>
      </c>
      <c r="M1028">
        <v>125</v>
      </c>
      <c r="AG1028">
        <v>0</v>
      </c>
      <c r="AH1028" s="1">
        <v>41640</v>
      </c>
      <c r="AI1028" s="1">
        <v>42004</v>
      </c>
      <c r="AJ1028" s="1">
        <v>41638</v>
      </c>
    </row>
    <row r="1029" spans="1:36" ht="15">
      <c r="A1029" t="str">
        <f>"54882517FE"</f>
        <v>54882517FE</v>
      </c>
      <c r="B1029" t="str">
        <f t="shared" si="51"/>
        <v>02406911202</v>
      </c>
      <c r="C1029" t="s">
        <v>13</v>
      </c>
      <c r="D1029" t="s">
        <v>37</v>
      </c>
      <c r="E1029" t="s">
        <v>670</v>
      </c>
      <c r="F1029" t="s">
        <v>39</v>
      </c>
      <c r="G1029" t="str">
        <f>"01286700487"</f>
        <v>01286700487</v>
      </c>
      <c r="I1029" t="s">
        <v>701</v>
      </c>
      <c r="L1029" t="s">
        <v>41</v>
      </c>
      <c r="M1029">
        <v>26013</v>
      </c>
      <c r="AG1029">
        <v>24626.56</v>
      </c>
      <c r="AH1029" s="1">
        <v>41640</v>
      </c>
      <c r="AI1029" s="1">
        <v>42004</v>
      </c>
      <c r="AJ1029" s="1">
        <v>41638</v>
      </c>
    </row>
    <row r="1030" spans="1:36" ht="15">
      <c r="A1030" t="str">
        <f>"5488261041"</f>
        <v>5488261041</v>
      </c>
      <c r="B1030" t="str">
        <f t="shared" si="51"/>
        <v>02406911202</v>
      </c>
      <c r="C1030" t="s">
        <v>13</v>
      </c>
      <c r="D1030" t="s">
        <v>37</v>
      </c>
      <c r="E1030" t="s">
        <v>670</v>
      </c>
      <c r="F1030" t="s">
        <v>39</v>
      </c>
      <c r="G1030" t="str">
        <f>"00108790502"</f>
        <v>00108790502</v>
      </c>
      <c r="I1030" t="s">
        <v>702</v>
      </c>
      <c r="L1030" t="s">
        <v>41</v>
      </c>
      <c r="M1030">
        <v>2308</v>
      </c>
      <c r="AG1030">
        <v>769.6</v>
      </c>
      <c r="AH1030" s="1">
        <v>41640</v>
      </c>
      <c r="AI1030" s="1">
        <v>42004</v>
      </c>
      <c r="AJ1030" s="1">
        <v>41638</v>
      </c>
    </row>
    <row r="1031" spans="1:36" ht="15">
      <c r="A1031" t="str">
        <f>"5488274AF8"</f>
        <v>5488274AF8</v>
      </c>
      <c r="B1031" t="str">
        <f t="shared" si="51"/>
        <v>02406911202</v>
      </c>
      <c r="C1031" t="s">
        <v>13</v>
      </c>
      <c r="D1031" t="s">
        <v>37</v>
      </c>
      <c r="E1031" t="s">
        <v>670</v>
      </c>
      <c r="F1031" t="s">
        <v>39</v>
      </c>
      <c r="G1031" t="str">
        <f>"00071020085"</f>
        <v>00071020085</v>
      </c>
      <c r="I1031" t="s">
        <v>703</v>
      </c>
      <c r="L1031" t="s">
        <v>41</v>
      </c>
      <c r="M1031">
        <v>188666</v>
      </c>
      <c r="AG1031">
        <v>54907.2</v>
      </c>
      <c r="AH1031" s="1">
        <v>41640</v>
      </c>
      <c r="AI1031" s="1">
        <v>42004</v>
      </c>
      <c r="AJ1031" s="1">
        <v>41638</v>
      </c>
    </row>
    <row r="1032" spans="1:36" ht="15">
      <c r="A1032" t="str">
        <f>"5488315CCD"</f>
        <v>5488315CCD</v>
      </c>
      <c r="B1032" t="str">
        <f t="shared" si="51"/>
        <v>02406911202</v>
      </c>
      <c r="C1032" t="s">
        <v>13</v>
      </c>
      <c r="D1032" t="s">
        <v>37</v>
      </c>
      <c r="E1032" t="s">
        <v>670</v>
      </c>
      <c r="F1032" t="s">
        <v>39</v>
      </c>
      <c r="G1032" t="str">
        <f>"01192310124"</f>
        <v>01192310124</v>
      </c>
      <c r="I1032" t="s">
        <v>704</v>
      </c>
      <c r="L1032" t="s">
        <v>41</v>
      </c>
      <c r="M1032">
        <v>8502</v>
      </c>
      <c r="AG1032">
        <v>9957.62</v>
      </c>
      <c r="AH1032" s="1">
        <v>41640</v>
      </c>
      <c r="AI1032" s="1">
        <v>42004</v>
      </c>
      <c r="AJ1032" s="1">
        <v>41638</v>
      </c>
    </row>
    <row r="1033" spans="1:36" ht="15">
      <c r="A1033" t="str">
        <f>"548832443D"</f>
        <v>548832443D</v>
      </c>
      <c r="B1033" t="str">
        <f t="shared" si="51"/>
        <v>02406911202</v>
      </c>
      <c r="C1033" t="s">
        <v>13</v>
      </c>
      <c r="D1033" t="s">
        <v>37</v>
      </c>
      <c r="E1033" t="s">
        <v>670</v>
      </c>
      <c r="F1033" t="s">
        <v>39</v>
      </c>
      <c r="G1033" t="str">
        <f>"11008200153"</f>
        <v>11008200153</v>
      </c>
      <c r="I1033" t="s">
        <v>705</v>
      </c>
      <c r="L1033" t="s">
        <v>41</v>
      </c>
      <c r="M1033">
        <v>245780</v>
      </c>
      <c r="AG1033">
        <v>213975.02</v>
      </c>
      <c r="AH1033" s="1">
        <v>41640</v>
      </c>
      <c r="AI1033" s="1">
        <v>42004</v>
      </c>
      <c r="AJ1033" s="1">
        <v>41638</v>
      </c>
    </row>
    <row r="1034" spans="1:36" ht="15">
      <c r="A1034" t="str">
        <f>"548833092F"</f>
        <v>548833092F</v>
      </c>
      <c r="B1034" t="str">
        <f t="shared" si="51"/>
        <v>02406911202</v>
      </c>
      <c r="C1034" t="s">
        <v>13</v>
      </c>
      <c r="D1034" t="s">
        <v>37</v>
      </c>
      <c r="E1034" t="s">
        <v>670</v>
      </c>
      <c r="F1034" t="s">
        <v>39</v>
      </c>
      <c r="G1034" t="str">
        <f>"00846530152"</f>
        <v>00846530152</v>
      </c>
      <c r="I1034" t="s">
        <v>706</v>
      </c>
      <c r="L1034" t="s">
        <v>41</v>
      </c>
      <c r="M1034">
        <v>87604</v>
      </c>
      <c r="AG1034">
        <v>56224.24</v>
      </c>
      <c r="AH1034" s="1">
        <v>41640</v>
      </c>
      <c r="AI1034" s="1">
        <v>42004</v>
      </c>
      <c r="AJ1034" s="1">
        <v>41638</v>
      </c>
    </row>
    <row r="1035" spans="1:36" ht="15">
      <c r="A1035" t="str">
        <f>"5488341245"</f>
        <v>5488341245</v>
      </c>
      <c r="B1035" t="str">
        <f t="shared" si="51"/>
        <v>02406911202</v>
      </c>
      <c r="C1035" t="s">
        <v>13</v>
      </c>
      <c r="D1035" t="s">
        <v>37</v>
      </c>
      <c r="E1035" t="s">
        <v>670</v>
      </c>
      <c r="F1035" t="s">
        <v>39</v>
      </c>
      <c r="G1035" t="str">
        <f>"00880701008"</f>
        <v>00880701008</v>
      </c>
      <c r="I1035" t="s">
        <v>707</v>
      </c>
      <c r="L1035" t="s">
        <v>41</v>
      </c>
      <c r="M1035">
        <v>1812117</v>
      </c>
      <c r="AG1035">
        <v>1599684.79</v>
      </c>
      <c r="AH1035" s="1">
        <v>41640</v>
      </c>
      <c r="AI1035" s="1">
        <v>42004</v>
      </c>
      <c r="AJ1035" s="1">
        <v>41638</v>
      </c>
    </row>
    <row r="1036" spans="1:36" ht="15">
      <c r="A1036" t="str">
        <f>"54883509B0"</f>
        <v>54883509B0</v>
      </c>
      <c r="B1036" t="str">
        <f t="shared" si="51"/>
        <v>02406911202</v>
      </c>
      <c r="C1036" t="s">
        <v>13</v>
      </c>
      <c r="D1036" t="s">
        <v>37</v>
      </c>
      <c r="E1036" t="s">
        <v>670</v>
      </c>
      <c r="F1036" t="s">
        <v>39</v>
      </c>
      <c r="G1036" t="str">
        <f>"00887261006"</f>
        <v>00887261006</v>
      </c>
      <c r="I1036" t="s">
        <v>708</v>
      </c>
      <c r="L1036" t="s">
        <v>41</v>
      </c>
      <c r="M1036">
        <v>890483</v>
      </c>
      <c r="AG1036">
        <v>914229.89</v>
      </c>
      <c r="AH1036" s="1">
        <v>41640</v>
      </c>
      <c r="AI1036" s="1">
        <v>42004</v>
      </c>
      <c r="AJ1036" s="1">
        <v>41638</v>
      </c>
    </row>
    <row r="1037" spans="1:36" ht="15">
      <c r="A1037" t="str">
        <f>"54883601F3"</f>
        <v>54883601F3</v>
      </c>
      <c r="B1037" t="str">
        <f t="shared" si="51"/>
        <v>02406911202</v>
      </c>
      <c r="C1037" t="s">
        <v>13</v>
      </c>
      <c r="D1037" t="s">
        <v>37</v>
      </c>
      <c r="E1037" t="s">
        <v>670</v>
      </c>
      <c r="F1037" t="s">
        <v>39</v>
      </c>
      <c r="G1037" t="str">
        <f>"03859880969"</f>
        <v>03859880969</v>
      </c>
      <c r="I1037" t="s">
        <v>70</v>
      </c>
      <c r="L1037" t="s">
        <v>41</v>
      </c>
      <c r="M1037">
        <v>69913</v>
      </c>
      <c r="AG1037">
        <v>19112.59</v>
      </c>
      <c r="AH1037" s="1">
        <v>41640</v>
      </c>
      <c r="AI1037" s="1">
        <v>42004</v>
      </c>
      <c r="AJ1037" s="1">
        <v>41638</v>
      </c>
    </row>
    <row r="1038" spans="1:36" ht="15">
      <c r="A1038" t="str">
        <f>"54883780CE"</f>
        <v>54883780CE</v>
      </c>
      <c r="B1038" t="str">
        <f t="shared" si="51"/>
        <v>02406911202</v>
      </c>
      <c r="C1038" t="s">
        <v>13</v>
      </c>
      <c r="D1038" t="s">
        <v>37</v>
      </c>
      <c r="E1038" t="s">
        <v>670</v>
      </c>
      <c r="F1038" t="s">
        <v>39</v>
      </c>
      <c r="G1038" t="str">
        <f>"06647900965"</f>
        <v>06647900965</v>
      </c>
      <c r="I1038" t="s">
        <v>709</v>
      </c>
      <c r="L1038" t="s">
        <v>41</v>
      </c>
      <c r="M1038">
        <v>3061</v>
      </c>
      <c r="AG1038">
        <v>4038.33</v>
      </c>
      <c r="AH1038" s="1">
        <v>41640</v>
      </c>
      <c r="AI1038" s="1">
        <v>42004</v>
      </c>
      <c r="AJ1038" s="1">
        <v>41638</v>
      </c>
    </row>
    <row r="1039" spans="1:36" ht="15">
      <c r="A1039" t="str">
        <f>"5488385693"</f>
        <v>5488385693</v>
      </c>
      <c r="B1039" t="str">
        <f t="shared" si="51"/>
        <v>02406911202</v>
      </c>
      <c r="C1039" t="s">
        <v>13</v>
      </c>
      <c r="D1039" t="s">
        <v>37</v>
      </c>
      <c r="E1039" t="s">
        <v>670</v>
      </c>
      <c r="F1039" t="s">
        <v>39</v>
      </c>
      <c r="G1039" t="str">
        <f>"04516021005"</f>
        <v>04516021005</v>
      </c>
      <c r="I1039" t="s">
        <v>710</v>
      </c>
      <c r="L1039" t="s">
        <v>41</v>
      </c>
      <c r="M1039">
        <v>6930</v>
      </c>
      <c r="AG1039">
        <v>8128.2</v>
      </c>
      <c r="AH1039" s="1">
        <v>41640</v>
      </c>
      <c r="AI1039" s="1">
        <v>42004</v>
      </c>
      <c r="AJ1039" s="1">
        <v>41638</v>
      </c>
    </row>
    <row r="1040" spans="1:36" ht="15">
      <c r="A1040" t="str">
        <f>"5488393D2B"</f>
        <v>5488393D2B</v>
      </c>
      <c r="B1040" t="str">
        <f t="shared" si="51"/>
        <v>02406911202</v>
      </c>
      <c r="C1040" t="s">
        <v>13</v>
      </c>
      <c r="D1040" t="s">
        <v>37</v>
      </c>
      <c r="E1040" t="s">
        <v>670</v>
      </c>
      <c r="F1040" t="s">
        <v>39</v>
      </c>
      <c r="G1040" t="str">
        <f>"11116290153"</f>
        <v>11116290153</v>
      </c>
      <c r="I1040" t="s">
        <v>711</v>
      </c>
      <c r="L1040" t="s">
        <v>41</v>
      </c>
      <c r="M1040">
        <v>6210</v>
      </c>
      <c r="AG1040">
        <v>690</v>
      </c>
      <c r="AH1040" s="1">
        <v>41640</v>
      </c>
      <c r="AI1040" s="1">
        <v>42004</v>
      </c>
      <c r="AJ1040" s="1">
        <v>41638</v>
      </c>
    </row>
    <row r="1041" spans="1:36" ht="15">
      <c r="A1041" t="str">
        <f>"549026452D"</f>
        <v>549026452D</v>
      </c>
      <c r="B1041" t="str">
        <f t="shared" si="51"/>
        <v>02406911202</v>
      </c>
      <c r="C1041" t="s">
        <v>13</v>
      </c>
      <c r="D1041" t="s">
        <v>37</v>
      </c>
      <c r="E1041" t="s">
        <v>670</v>
      </c>
      <c r="F1041" t="s">
        <v>39</v>
      </c>
      <c r="G1041" t="str">
        <f>"02385200122"</f>
        <v>02385200122</v>
      </c>
      <c r="I1041" t="s">
        <v>712</v>
      </c>
      <c r="L1041" t="s">
        <v>41</v>
      </c>
      <c r="M1041">
        <v>3560334</v>
      </c>
      <c r="AG1041">
        <v>2567358.58</v>
      </c>
      <c r="AH1041" s="1">
        <v>41640</v>
      </c>
      <c r="AI1041" s="1">
        <v>42004</v>
      </c>
      <c r="AJ1041" s="1">
        <v>41638</v>
      </c>
    </row>
    <row r="1042" spans="1:36" ht="15">
      <c r="A1042" t="str">
        <f>"5490329ACF"</f>
        <v>5490329ACF</v>
      </c>
      <c r="B1042" t="str">
        <f t="shared" si="51"/>
        <v>02406911202</v>
      </c>
      <c r="C1042" t="s">
        <v>13</v>
      </c>
      <c r="D1042" t="s">
        <v>37</v>
      </c>
      <c r="E1042" t="s">
        <v>670</v>
      </c>
      <c r="F1042" t="s">
        <v>39</v>
      </c>
      <c r="G1042" t="str">
        <f>"01260981004"</f>
        <v>01260981004</v>
      </c>
      <c r="I1042" t="s">
        <v>713</v>
      </c>
      <c r="L1042" t="s">
        <v>41</v>
      </c>
      <c r="M1042">
        <v>367271</v>
      </c>
      <c r="AG1042">
        <v>878328.4</v>
      </c>
      <c r="AH1042" s="1">
        <v>41640</v>
      </c>
      <c r="AI1042" s="1">
        <v>42004</v>
      </c>
      <c r="AJ1042" s="1">
        <v>41638</v>
      </c>
    </row>
    <row r="1043" spans="1:36" ht="15">
      <c r="A1043" t="str">
        <f>"54903636DF"</f>
        <v>54903636DF</v>
      </c>
      <c r="B1043" t="str">
        <f t="shared" si="51"/>
        <v>02406911202</v>
      </c>
      <c r="C1043" t="s">
        <v>13</v>
      </c>
      <c r="D1043" t="s">
        <v>37</v>
      </c>
      <c r="E1043" t="s">
        <v>670</v>
      </c>
      <c r="F1043" t="s">
        <v>39</v>
      </c>
      <c r="G1043" t="str">
        <f>"09555521005"</f>
        <v>09555521005</v>
      </c>
      <c r="I1043" t="s">
        <v>714</v>
      </c>
      <c r="L1043" t="s">
        <v>41</v>
      </c>
      <c r="M1043">
        <v>221</v>
      </c>
      <c r="AG1043">
        <v>0</v>
      </c>
      <c r="AH1043" s="1">
        <v>41640</v>
      </c>
      <c r="AI1043" s="1">
        <v>42004</v>
      </c>
      <c r="AJ1043" s="1">
        <v>41638</v>
      </c>
    </row>
    <row r="1044" spans="1:36" ht="15">
      <c r="A1044" t="str">
        <f>"54904037E1"</f>
        <v>54904037E1</v>
      </c>
      <c r="B1044" t="str">
        <f t="shared" si="51"/>
        <v>02406911202</v>
      </c>
      <c r="C1044" t="s">
        <v>13</v>
      </c>
      <c r="D1044" t="s">
        <v>37</v>
      </c>
      <c r="E1044" t="s">
        <v>670</v>
      </c>
      <c r="F1044" t="s">
        <v>39</v>
      </c>
      <c r="G1044" t="str">
        <f>"05941670969"</f>
        <v>05941670969</v>
      </c>
      <c r="I1044" t="s">
        <v>715</v>
      </c>
      <c r="L1044" t="s">
        <v>41</v>
      </c>
      <c r="M1044">
        <v>5574</v>
      </c>
      <c r="AG1044">
        <v>0</v>
      </c>
      <c r="AH1044" s="1">
        <v>41640</v>
      </c>
      <c r="AI1044" s="1">
        <v>42004</v>
      </c>
      <c r="AJ1044" s="1">
        <v>41638</v>
      </c>
    </row>
    <row r="1045" spans="1:36" ht="15">
      <c r="A1045" t="str">
        <f>"5490447C2F"</f>
        <v>5490447C2F</v>
      </c>
      <c r="B1045" t="str">
        <f t="shared" si="51"/>
        <v>02406911202</v>
      </c>
      <c r="C1045" t="s">
        <v>13</v>
      </c>
      <c r="D1045" t="s">
        <v>37</v>
      </c>
      <c r="E1045" t="s">
        <v>670</v>
      </c>
      <c r="F1045" t="s">
        <v>39</v>
      </c>
      <c r="G1045" t="str">
        <f>"06516000962"</f>
        <v>06516000962</v>
      </c>
      <c r="I1045" t="s">
        <v>716</v>
      </c>
      <c r="L1045" t="s">
        <v>41</v>
      </c>
      <c r="M1045">
        <v>549056</v>
      </c>
      <c r="AG1045">
        <v>569686.68</v>
      </c>
      <c r="AH1045" s="1">
        <v>41640</v>
      </c>
      <c r="AI1045" s="1">
        <v>42004</v>
      </c>
      <c r="AJ1045" s="1">
        <v>41638</v>
      </c>
    </row>
    <row r="1046" spans="1:36" ht="15">
      <c r="A1046" t="str">
        <f>"54904964A1"</f>
        <v>54904964A1</v>
      </c>
      <c r="B1046" t="str">
        <f t="shared" si="51"/>
        <v>02406911202</v>
      </c>
      <c r="C1046" t="s">
        <v>13</v>
      </c>
      <c r="D1046" t="s">
        <v>37</v>
      </c>
      <c r="E1046" t="s">
        <v>670</v>
      </c>
      <c r="F1046" t="s">
        <v>39</v>
      </c>
      <c r="G1046" t="str">
        <f>"01781570591"</f>
        <v>01781570591</v>
      </c>
      <c r="I1046" t="s">
        <v>717</v>
      </c>
      <c r="L1046" t="s">
        <v>41</v>
      </c>
      <c r="M1046">
        <v>1133224</v>
      </c>
      <c r="AG1046">
        <v>1274779</v>
      </c>
      <c r="AH1046" s="1">
        <v>41640</v>
      </c>
      <c r="AI1046" s="1">
        <v>42004</v>
      </c>
      <c r="AJ1046" s="1">
        <v>41638</v>
      </c>
    </row>
    <row r="1047" spans="1:36" ht="15">
      <c r="A1047" t="str">
        <f>"5490621BC6"</f>
        <v>5490621BC6</v>
      </c>
      <c r="B1047" t="str">
        <f t="shared" si="51"/>
        <v>02406911202</v>
      </c>
      <c r="C1047" t="s">
        <v>13</v>
      </c>
      <c r="D1047" t="s">
        <v>37</v>
      </c>
      <c r="E1047" t="s">
        <v>670</v>
      </c>
      <c r="F1047" t="s">
        <v>39</v>
      </c>
      <c r="G1047" t="str">
        <f>"07858440964"</f>
        <v>07858440964</v>
      </c>
      <c r="I1047" t="s">
        <v>718</v>
      </c>
      <c r="L1047" t="s">
        <v>41</v>
      </c>
      <c r="M1047">
        <v>53940</v>
      </c>
      <c r="AG1047">
        <v>0</v>
      </c>
      <c r="AH1047" s="1">
        <v>41640</v>
      </c>
      <c r="AI1047" s="1">
        <v>42004</v>
      </c>
      <c r="AJ1047" s="1">
        <v>41638</v>
      </c>
    </row>
    <row r="1048" spans="1:36" ht="15">
      <c r="A1048" t="str">
        <f>"549065255D"</f>
        <v>549065255D</v>
      </c>
      <c r="B1048" t="str">
        <f t="shared" si="51"/>
        <v>02406911202</v>
      </c>
      <c r="C1048" t="s">
        <v>13</v>
      </c>
      <c r="D1048" t="s">
        <v>37</v>
      </c>
      <c r="E1048" t="s">
        <v>670</v>
      </c>
      <c r="F1048" t="s">
        <v>39</v>
      </c>
      <c r="G1048" t="str">
        <f>"00244540100"</f>
        <v>00244540100</v>
      </c>
      <c r="I1048" t="s">
        <v>350</v>
      </c>
      <c r="L1048" t="s">
        <v>41</v>
      </c>
      <c r="M1048">
        <v>4569</v>
      </c>
      <c r="AG1048">
        <v>3559.32</v>
      </c>
      <c r="AH1048" s="1">
        <v>41640</v>
      </c>
      <c r="AI1048" s="1">
        <v>42004</v>
      </c>
      <c r="AJ1048" s="1">
        <v>41638</v>
      </c>
    </row>
    <row r="1049" spans="1:36" ht="15">
      <c r="A1049" t="str">
        <f>"5490808619"</f>
        <v>5490808619</v>
      </c>
      <c r="B1049" t="str">
        <f t="shared" si="51"/>
        <v>02406911202</v>
      </c>
      <c r="C1049" t="s">
        <v>13</v>
      </c>
      <c r="D1049" t="s">
        <v>37</v>
      </c>
      <c r="E1049" t="s">
        <v>670</v>
      </c>
      <c r="F1049" t="s">
        <v>39</v>
      </c>
      <c r="G1049" t="str">
        <f>"10128980157"</f>
        <v>10128980157</v>
      </c>
      <c r="I1049" t="s">
        <v>294</v>
      </c>
      <c r="L1049" t="s">
        <v>41</v>
      </c>
      <c r="M1049">
        <v>16297</v>
      </c>
      <c r="AG1049">
        <v>45508.37</v>
      </c>
      <c r="AH1049" s="1">
        <v>41640</v>
      </c>
      <c r="AI1049" s="1">
        <v>42004</v>
      </c>
      <c r="AJ1049" s="1">
        <v>41638</v>
      </c>
    </row>
    <row r="1050" spans="1:36" ht="15">
      <c r="A1050" t="str">
        <f>"5490835C5F"</f>
        <v>5490835C5F</v>
      </c>
      <c r="B1050" t="str">
        <f t="shared" si="51"/>
        <v>02406911202</v>
      </c>
      <c r="C1050" t="s">
        <v>13</v>
      </c>
      <c r="D1050" t="s">
        <v>37</v>
      </c>
      <c r="E1050" t="s">
        <v>670</v>
      </c>
      <c r="F1050" t="s">
        <v>39</v>
      </c>
      <c r="G1050" t="str">
        <f>"03716240969"</f>
        <v>03716240969</v>
      </c>
      <c r="I1050" t="s">
        <v>719</v>
      </c>
      <c r="L1050" t="s">
        <v>41</v>
      </c>
      <c r="M1050">
        <v>19814</v>
      </c>
      <c r="AG1050">
        <v>12844.8</v>
      </c>
      <c r="AH1050" s="1">
        <v>41640</v>
      </c>
      <c r="AI1050" s="1">
        <v>42004</v>
      </c>
      <c r="AJ1050" s="1">
        <v>41638</v>
      </c>
    </row>
    <row r="1051" spans="1:36" ht="15">
      <c r="A1051" t="str">
        <f>"5490992DEE"</f>
        <v>5490992DEE</v>
      </c>
      <c r="B1051" t="str">
        <f t="shared" si="51"/>
        <v>02406911202</v>
      </c>
      <c r="C1051" t="s">
        <v>13</v>
      </c>
      <c r="D1051" t="s">
        <v>37</v>
      </c>
      <c r="E1051" t="s">
        <v>670</v>
      </c>
      <c r="F1051" t="s">
        <v>39</v>
      </c>
      <c r="G1051" t="str">
        <f>"01768930131"</f>
        <v>01768930131</v>
      </c>
      <c r="I1051" t="s">
        <v>720</v>
      </c>
      <c r="L1051" t="s">
        <v>41</v>
      </c>
      <c r="M1051">
        <v>10501</v>
      </c>
      <c r="AG1051">
        <v>5787.14</v>
      </c>
      <c r="AH1051" s="1">
        <v>41640</v>
      </c>
      <c r="AI1051" s="1">
        <v>42004</v>
      </c>
      <c r="AJ1051" s="1">
        <v>41638</v>
      </c>
    </row>
    <row r="1052" spans="1:36" ht="15">
      <c r="A1052" t="str">
        <f>"5491031E1D"</f>
        <v>5491031E1D</v>
      </c>
      <c r="B1052" t="str">
        <f t="shared" si="51"/>
        <v>02406911202</v>
      </c>
      <c r="C1052" t="s">
        <v>13</v>
      </c>
      <c r="D1052" t="s">
        <v>37</v>
      </c>
      <c r="E1052" t="s">
        <v>670</v>
      </c>
      <c r="F1052" t="s">
        <v>39</v>
      </c>
      <c r="G1052" t="str">
        <f>"00747170157"</f>
        <v>00747170157</v>
      </c>
      <c r="I1052" t="s">
        <v>351</v>
      </c>
      <c r="L1052" t="s">
        <v>41</v>
      </c>
      <c r="M1052">
        <v>4401262</v>
      </c>
      <c r="AG1052">
        <v>3566831.52</v>
      </c>
      <c r="AH1052" s="1">
        <v>41640</v>
      </c>
      <c r="AI1052" s="1">
        <v>42004</v>
      </c>
      <c r="AJ1052" s="1">
        <v>41638</v>
      </c>
    </row>
    <row r="1053" spans="1:36" ht="15">
      <c r="A1053" t="str">
        <f>"54910562C2"</f>
        <v>54910562C2</v>
      </c>
      <c r="B1053" t="str">
        <f t="shared" si="51"/>
        <v>02406911202</v>
      </c>
      <c r="C1053" t="s">
        <v>13</v>
      </c>
      <c r="D1053" t="s">
        <v>37</v>
      </c>
      <c r="E1053" t="s">
        <v>670</v>
      </c>
      <c r="F1053" t="s">
        <v>39</v>
      </c>
      <c r="G1053" t="str">
        <f>"04472830159"</f>
        <v>04472830159</v>
      </c>
      <c r="I1053" t="s">
        <v>721</v>
      </c>
      <c r="L1053" t="s">
        <v>41</v>
      </c>
      <c r="M1053">
        <v>123</v>
      </c>
      <c r="AG1053">
        <v>137.47</v>
      </c>
      <c r="AH1053" s="1">
        <v>41640</v>
      </c>
      <c r="AI1053" s="1">
        <v>42004</v>
      </c>
      <c r="AJ1053" s="1">
        <v>41638</v>
      </c>
    </row>
    <row r="1054" spans="1:36" ht="15">
      <c r="A1054" t="str">
        <f>"5491151128"</f>
        <v>5491151128</v>
      </c>
      <c r="B1054" t="str">
        <f t="shared" si="51"/>
        <v>02406911202</v>
      </c>
      <c r="C1054" t="s">
        <v>13</v>
      </c>
      <c r="D1054" t="s">
        <v>37</v>
      </c>
      <c r="E1054" t="s">
        <v>670</v>
      </c>
      <c r="F1054" t="s">
        <v>39</v>
      </c>
      <c r="G1054" t="str">
        <f>"00122890874"</f>
        <v>00122890874</v>
      </c>
      <c r="I1054" t="s">
        <v>722</v>
      </c>
      <c r="L1054" t="s">
        <v>41</v>
      </c>
      <c r="M1054">
        <v>341</v>
      </c>
      <c r="AG1054">
        <v>230.98</v>
      </c>
      <c r="AH1054" s="1">
        <v>41640</v>
      </c>
      <c r="AI1054" s="1">
        <v>42004</v>
      </c>
      <c r="AJ1054" s="1">
        <v>41638</v>
      </c>
    </row>
    <row r="1055" spans="1:36" ht="15">
      <c r="A1055" t="str">
        <f>"54911754F5"</f>
        <v>54911754F5</v>
      </c>
      <c r="B1055" t="str">
        <f t="shared" si="51"/>
        <v>02406911202</v>
      </c>
      <c r="C1055" t="s">
        <v>13</v>
      </c>
      <c r="D1055" t="s">
        <v>37</v>
      </c>
      <c r="E1055" t="s">
        <v>670</v>
      </c>
      <c r="F1055" t="s">
        <v>39</v>
      </c>
      <c r="G1055" t="str">
        <f>"00832400154"</f>
        <v>00832400154</v>
      </c>
      <c r="I1055" t="s">
        <v>723</v>
      </c>
      <c r="L1055" t="s">
        <v>41</v>
      </c>
      <c r="M1055">
        <v>2447372</v>
      </c>
      <c r="AG1055">
        <v>2475530.15</v>
      </c>
      <c r="AH1055" s="1">
        <v>41640</v>
      </c>
      <c r="AI1055" s="1">
        <v>42004</v>
      </c>
      <c r="AJ1055" s="1">
        <v>41638</v>
      </c>
    </row>
    <row r="1056" spans="1:36" ht="15">
      <c r="A1056" t="str">
        <f>"54912166CA"</f>
        <v>54912166CA</v>
      </c>
      <c r="B1056" t="str">
        <f t="shared" si="51"/>
        <v>02406911202</v>
      </c>
      <c r="C1056" t="s">
        <v>13</v>
      </c>
      <c r="D1056" t="s">
        <v>37</v>
      </c>
      <c r="E1056" t="s">
        <v>670</v>
      </c>
      <c r="F1056" t="s">
        <v>39</v>
      </c>
      <c r="G1056" t="str">
        <f>"10771570156"</f>
        <v>10771570156</v>
      </c>
      <c r="I1056" t="s">
        <v>724</v>
      </c>
      <c r="L1056" t="s">
        <v>41</v>
      </c>
      <c r="M1056">
        <v>1117</v>
      </c>
      <c r="AG1056">
        <v>855</v>
      </c>
      <c r="AH1056" s="1">
        <v>41640</v>
      </c>
      <c r="AI1056" s="1">
        <v>42004</v>
      </c>
      <c r="AJ1056" s="1">
        <v>41638</v>
      </c>
    </row>
    <row r="1057" spans="1:36" ht="15">
      <c r="A1057" t="str">
        <f>"54912914AF"</f>
        <v>54912914AF</v>
      </c>
      <c r="B1057" t="str">
        <f t="shared" si="51"/>
        <v>02406911202</v>
      </c>
      <c r="C1057" t="s">
        <v>13</v>
      </c>
      <c r="D1057" t="s">
        <v>37</v>
      </c>
      <c r="E1057" t="s">
        <v>670</v>
      </c>
      <c r="F1057" t="s">
        <v>39</v>
      </c>
      <c r="G1057" t="str">
        <f>"05104850481"</f>
        <v>05104850481</v>
      </c>
      <c r="I1057" t="s">
        <v>725</v>
      </c>
      <c r="L1057" t="s">
        <v>41</v>
      </c>
      <c r="M1057">
        <v>461334</v>
      </c>
      <c r="AG1057">
        <v>447552.74</v>
      </c>
      <c r="AH1057" s="1">
        <v>41640</v>
      </c>
      <c r="AI1057" s="1">
        <v>42004</v>
      </c>
      <c r="AJ1057" s="1">
        <v>41638</v>
      </c>
    </row>
    <row r="1058" spans="1:36" ht="15">
      <c r="A1058" t="str">
        <f>"5491322E41"</f>
        <v>5491322E41</v>
      </c>
      <c r="B1058" t="str">
        <f t="shared" si="51"/>
        <v>02406911202</v>
      </c>
      <c r="C1058" t="s">
        <v>13</v>
      </c>
      <c r="D1058" t="s">
        <v>37</v>
      </c>
      <c r="E1058" t="s">
        <v>670</v>
      </c>
      <c r="F1058" t="s">
        <v>39</v>
      </c>
      <c r="G1058" t="str">
        <f>"00885531004"</f>
        <v>00885531004</v>
      </c>
      <c r="I1058" t="s">
        <v>726</v>
      </c>
      <c r="L1058" t="s">
        <v>41</v>
      </c>
      <c r="M1058">
        <v>3014</v>
      </c>
      <c r="AG1058">
        <v>3637.05</v>
      </c>
      <c r="AH1058" s="1">
        <v>41640</v>
      </c>
      <c r="AI1058" s="1">
        <v>42004</v>
      </c>
      <c r="AJ1058" s="1">
        <v>41638</v>
      </c>
    </row>
    <row r="1059" spans="1:36" ht="15">
      <c r="A1059" t="str">
        <f>"5491343F95"</f>
        <v>5491343F95</v>
      </c>
      <c r="B1059" t="str">
        <f t="shared" si="51"/>
        <v>02406911202</v>
      </c>
      <c r="C1059" t="s">
        <v>13</v>
      </c>
      <c r="D1059" t="s">
        <v>37</v>
      </c>
      <c r="E1059" t="s">
        <v>670</v>
      </c>
      <c r="F1059" t="s">
        <v>39</v>
      </c>
      <c r="G1059" t="str">
        <f>"03428610152"</f>
        <v>03428610152</v>
      </c>
      <c r="I1059" t="s">
        <v>201</v>
      </c>
      <c r="L1059" t="s">
        <v>41</v>
      </c>
      <c r="M1059">
        <v>9920</v>
      </c>
      <c r="AG1059">
        <v>3912.48</v>
      </c>
      <c r="AH1059" s="1">
        <v>41640</v>
      </c>
      <c r="AI1059" s="1">
        <v>42004</v>
      </c>
      <c r="AJ1059" s="1">
        <v>41638</v>
      </c>
    </row>
    <row r="1060" spans="1:36" ht="15">
      <c r="A1060" t="str">
        <f>"5491430763"</f>
        <v>5491430763</v>
      </c>
      <c r="B1060" t="str">
        <f t="shared" si="51"/>
        <v>02406911202</v>
      </c>
      <c r="C1060" t="s">
        <v>13</v>
      </c>
      <c r="D1060" t="s">
        <v>37</v>
      </c>
      <c r="E1060" t="s">
        <v>670</v>
      </c>
      <c r="F1060" t="s">
        <v>39</v>
      </c>
      <c r="G1060" t="str">
        <f>"00696360155"</f>
        <v>00696360155</v>
      </c>
      <c r="I1060" t="s">
        <v>484</v>
      </c>
      <c r="L1060" t="s">
        <v>41</v>
      </c>
      <c r="M1060">
        <v>140422</v>
      </c>
      <c r="AG1060">
        <v>106189.86</v>
      </c>
      <c r="AH1060" s="1">
        <v>41640</v>
      </c>
      <c r="AI1060" s="1">
        <v>42004</v>
      </c>
      <c r="AJ1060" s="1">
        <v>41638</v>
      </c>
    </row>
    <row r="1061" spans="1:36" ht="15">
      <c r="A1061" t="str">
        <f>"54914686BF"</f>
        <v>54914686BF</v>
      </c>
      <c r="B1061" t="str">
        <f t="shared" si="51"/>
        <v>02406911202</v>
      </c>
      <c r="C1061" t="s">
        <v>13</v>
      </c>
      <c r="D1061" t="s">
        <v>37</v>
      </c>
      <c r="E1061" t="s">
        <v>670</v>
      </c>
      <c r="F1061" t="s">
        <v>39</v>
      </c>
      <c r="G1061" t="str">
        <f>"01423300183"</f>
        <v>01423300183</v>
      </c>
      <c r="I1061" t="s">
        <v>727</v>
      </c>
      <c r="L1061" t="s">
        <v>41</v>
      </c>
      <c r="M1061">
        <v>58267</v>
      </c>
      <c r="AG1061">
        <v>8175.4</v>
      </c>
      <c r="AH1061" s="1">
        <v>41640</v>
      </c>
      <c r="AI1061" s="1">
        <v>42004</v>
      </c>
      <c r="AJ1061" s="1">
        <v>41638</v>
      </c>
    </row>
    <row r="1062" spans="1:36" ht="15">
      <c r="A1062" t="str">
        <f>"5491509894"</f>
        <v>5491509894</v>
      </c>
      <c r="B1062" t="str">
        <f t="shared" si="51"/>
        <v>02406911202</v>
      </c>
      <c r="C1062" t="s">
        <v>13</v>
      </c>
      <c r="D1062" t="s">
        <v>37</v>
      </c>
      <c r="E1062" t="s">
        <v>670</v>
      </c>
      <c r="F1062" t="s">
        <v>39</v>
      </c>
      <c r="G1062" t="str">
        <f>"11654150157"</f>
        <v>11654150157</v>
      </c>
      <c r="I1062" t="s">
        <v>58</v>
      </c>
      <c r="L1062" t="s">
        <v>41</v>
      </c>
      <c r="M1062">
        <v>84057</v>
      </c>
      <c r="AG1062">
        <v>44799.35</v>
      </c>
      <c r="AH1062" s="1">
        <v>41640</v>
      </c>
      <c r="AI1062" s="1">
        <v>42004</v>
      </c>
      <c r="AJ1062" s="1">
        <v>41638</v>
      </c>
    </row>
    <row r="1063" spans="1:36" ht="15">
      <c r="A1063" t="str">
        <f>"549158574C"</f>
        <v>549158574C</v>
      </c>
      <c r="B1063" t="str">
        <f t="shared" si="51"/>
        <v>02406911202</v>
      </c>
      <c r="C1063" t="s">
        <v>13</v>
      </c>
      <c r="D1063" t="s">
        <v>37</v>
      </c>
      <c r="E1063" t="s">
        <v>670</v>
      </c>
      <c r="F1063" t="s">
        <v>39</v>
      </c>
      <c r="G1063" t="str">
        <f>"09980061007"</f>
        <v>09980061007</v>
      </c>
      <c r="I1063" t="s">
        <v>728</v>
      </c>
      <c r="L1063" t="s">
        <v>41</v>
      </c>
      <c r="M1063">
        <v>49731</v>
      </c>
      <c r="AG1063">
        <v>49124.96</v>
      </c>
      <c r="AH1063" s="1">
        <v>41640</v>
      </c>
      <c r="AI1063" s="1">
        <v>42004</v>
      </c>
      <c r="AJ1063" s="1">
        <v>41638</v>
      </c>
    </row>
    <row r="1064" spans="1:36" ht="15">
      <c r="A1064" t="str">
        <f>"5491647A75"</f>
        <v>5491647A75</v>
      </c>
      <c r="B1064" t="str">
        <f t="shared" si="51"/>
        <v>02406911202</v>
      </c>
      <c r="C1064" t="s">
        <v>13</v>
      </c>
      <c r="D1064" t="s">
        <v>37</v>
      </c>
      <c r="E1064" t="s">
        <v>670</v>
      </c>
      <c r="F1064" t="s">
        <v>39</v>
      </c>
      <c r="G1064" t="str">
        <f>"07649050965"</f>
        <v>07649050965</v>
      </c>
      <c r="I1064" t="s">
        <v>729</v>
      </c>
      <c r="L1064" t="s">
        <v>41</v>
      </c>
      <c r="M1064">
        <v>1234</v>
      </c>
      <c r="AG1064">
        <v>5374.11</v>
      </c>
      <c r="AH1064" s="1">
        <v>41640</v>
      </c>
      <c r="AI1064" s="1">
        <v>42004</v>
      </c>
      <c r="AJ1064" s="1">
        <v>41638</v>
      </c>
    </row>
    <row r="1065" spans="1:36" ht="15">
      <c r="A1065" t="str">
        <f>"5491670D6F"</f>
        <v>5491670D6F</v>
      </c>
      <c r="B1065" t="str">
        <f t="shared" si="51"/>
        <v>02406911202</v>
      </c>
      <c r="C1065" t="s">
        <v>13</v>
      </c>
      <c r="D1065" t="s">
        <v>37</v>
      </c>
      <c r="E1065" t="s">
        <v>670</v>
      </c>
      <c r="F1065" t="s">
        <v>39</v>
      </c>
      <c r="G1065" t="str">
        <f>"11957290155"</f>
        <v>11957290155</v>
      </c>
      <c r="I1065" t="s">
        <v>730</v>
      </c>
      <c r="L1065" t="s">
        <v>41</v>
      </c>
      <c r="M1065">
        <v>23876</v>
      </c>
      <c r="AG1065">
        <v>25777.44</v>
      </c>
      <c r="AH1065" s="1">
        <v>41640</v>
      </c>
      <c r="AI1065" s="1">
        <v>42004</v>
      </c>
      <c r="AJ1065" s="1">
        <v>41638</v>
      </c>
    </row>
    <row r="1066" spans="1:36" ht="15">
      <c r="A1066" t="str">
        <f>"549171201C"</f>
        <v>549171201C</v>
      </c>
      <c r="B1066" t="str">
        <f t="shared" si="51"/>
        <v>02406911202</v>
      </c>
      <c r="C1066" t="s">
        <v>13</v>
      </c>
      <c r="D1066" t="s">
        <v>37</v>
      </c>
      <c r="E1066" t="s">
        <v>670</v>
      </c>
      <c r="F1066" t="s">
        <v>39</v>
      </c>
      <c r="G1066" t="str">
        <f>"00471770016"</f>
        <v>00471770016</v>
      </c>
      <c r="I1066" t="s">
        <v>550</v>
      </c>
      <c r="L1066" t="s">
        <v>41</v>
      </c>
      <c r="M1066">
        <v>590883</v>
      </c>
      <c r="AG1066">
        <v>560300.73</v>
      </c>
      <c r="AH1066" s="1">
        <v>41640</v>
      </c>
      <c r="AI1066" s="1">
        <v>42004</v>
      </c>
      <c r="AJ1066" s="1">
        <v>41638</v>
      </c>
    </row>
    <row r="1067" spans="1:36" ht="15">
      <c r="A1067" t="str">
        <f>"549176295C"</f>
        <v>549176295C</v>
      </c>
      <c r="B1067" t="str">
        <f t="shared" si="51"/>
        <v>02406911202</v>
      </c>
      <c r="C1067" t="s">
        <v>13</v>
      </c>
      <c r="D1067" t="s">
        <v>37</v>
      </c>
      <c r="E1067" t="s">
        <v>670</v>
      </c>
      <c r="F1067" t="s">
        <v>39</v>
      </c>
      <c r="G1067" t="str">
        <f>"03878140239"</f>
        <v>03878140239</v>
      </c>
      <c r="I1067" t="s">
        <v>731</v>
      </c>
      <c r="L1067" t="s">
        <v>41</v>
      </c>
      <c r="M1067">
        <v>838596</v>
      </c>
      <c r="AG1067">
        <v>727677.72</v>
      </c>
      <c r="AH1067" s="1">
        <v>41640</v>
      </c>
      <c r="AI1067" s="1">
        <v>42004</v>
      </c>
      <c r="AJ1067" s="1">
        <v>41638</v>
      </c>
    </row>
    <row r="1068" spans="1:36" ht="15">
      <c r="A1068" t="str">
        <f>"5491809028"</f>
        <v>5491809028</v>
      </c>
      <c r="B1068" t="str">
        <f t="shared" si="51"/>
        <v>02406911202</v>
      </c>
      <c r="C1068" t="s">
        <v>13</v>
      </c>
      <c r="D1068" t="s">
        <v>37</v>
      </c>
      <c r="E1068" t="s">
        <v>670</v>
      </c>
      <c r="F1068" t="s">
        <v>39</v>
      </c>
      <c r="G1068" t="str">
        <f>"05101501004"</f>
        <v>05101501004</v>
      </c>
      <c r="I1068" t="s">
        <v>732</v>
      </c>
      <c r="L1068" t="s">
        <v>41</v>
      </c>
      <c r="M1068">
        <v>16990</v>
      </c>
      <c r="AG1068">
        <v>10786.34</v>
      </c>
      <c r="AH1068" s="1">
        <v>41640</v>
      </c>
      <c r="AI1068" s="1">
        <v>42004</v>
      </c>
      <c r="AJ1068" s="1">
        <v>41638</v>
      </c>
    </row>
    <row r="1069" spans="1:36" ht="15">
      <c r="A1069" t="str">
        <f>"5491885EDB"</f>
        <v>5491885EDB</v>
      </c>
      <c r="B1069" t="str">
        <f t="shared" si="51"/>
        <v>02406911202</v>
      </c>
      <c r="C1069" t="s">
        <v>13</v>
      </c>
      <c r="D1069" t="s">
        <v>37</v>
      </c>
      <c r="E1069" t="s">
        <v>670</v>
      </c>
      <c r="F1069" t="s">
        <v>39</v>
      </c>
      <c r="G1069" t="str">
        <f>"02307520243"</f>
        <v>02307520243</v>
      </c>
      <c r="I1069" t="s">
        <v>61</v>
      </c>
      <c r="L1069" t="s">
        <v>41</v>
      </c>
      <c r="M1069">
        <v>576</v>
      </c>
      <c r="AG1069">
        <v>2024.69</v>
      </c>
      <c r="AH1069" s="1">
        <v>41640</v>
      </c>
      <c r="AI1069" s="1">
        <v>42004</v>
      </c>
      <c r="AJ1069" s="1">
        <v>41638</v>
      </c>
    </row>
    <row r="1070" spans="1:36" ht="15">
      <c r="A1070" t="str">
        <f>"54447963CC"</f>
        <v>54447963CC</v>
      </c>
      <c r="B1070" t="str">
        <f t="shared" si="51"/>
        <v>02406911202</v>
      </c>
      <c r="C1070" t="s">
        <v>13</v>
      </c>
      <c r="D1070" t="s">
        <v>37</v>
      </c>
      <c r="E1070" t="s">
        <v>733</v>
      </c>
      <c r="F1070" t="s">
        <v>86</v>
      </c>
      <c r="G1070" t="str">
        <f>"06912570964"</f>
        <v>06912570964</v>
      </c>
      <c r="I1070" t="s">
        <v>734</v>
      </c>
      <c r="L1070" t="s">
        <v>41</v>
      </c>
      <c r="M1070">
        <v>94200</v>
      </c>
      <c r="AG1070">
        <v>299821.21</v>
      </c>
      <c r="AH1070" s="1">
        <v>41640</v>
      </c>
      <c r="AI1070" s="1">
        <v>42369</v>
      </c>
      <c r="AJ1070" s="1">
        <v>41638</v>
      </c>
    </row>
    <row r="1071" spans="1:36" ht="15">
      <c r="A1071" t="str">
        <f>"5436131536"</f>
        <v>5436131536</v>
      </c>
      <c r="B1071" t="str">
        <f t="shared" si="51"/>
        <v>02406911202</v>
      </c>
      <c r="C1071" t="s">
        <v>13</v>
      </c>
      <c r="D1071" t="s">
        <v>37</v>
      </c>
      <c r="E1071" t="s">
        <v>733</v>
      </c>
      <c r="F1071" t="s">
        <v>86</v>
      </c>
      <c r="G1071" t="str">
        <f>"01681100150"</f>
        <v>01681100150</v>
      </c>
      <c r="I1071" t="s">
        <v>155</v>
      </c>
      <c r="L1071" t="s">
        <v>41</v>
      </c>
      <c r="M1071">
        <v>110400</v>
      </c>
      <c r="AG1071">
        <v>110440</v>
      </c>
      <c r="AH1071" s="1">
        <v>41640</v>
      </c>
      <c r="AI1071" s="1">
        <v>42369</v>
      </c>
      <c r="AJ1071" s="1">
        <v>41638</v>
      </c>
    </row>
    <row r="1072" spans="1:36" ht="15">
      <c r="A1072" t="str">
        <f>"5502955E1C"</f>
        <v>5502955E1C</v>
      </c>
      <c r="B1072" t="str">
        <f t="shared" si="51"/>
        <v>02406911202</v>
      </c>
      <c r="C1072" t="s">
        <v>13</v>
      </c>
      <c r="D1072" t="s">
        <v>37</v>
      </c>
      <c r="E1072" t="s">
        <v>735</v>
      </c>
      <c r="F1072" t="s">
        <v>89</v>
      </c>
      <c r="G1072" t="str">
        <f>"01140030360"</f>
        <v>01140030360</v>
      </c>
      <c r="I1072" t="s">
        <v>736</v>
      </c>
      <c r="L1072" t="s">
        <v>41</v>
      </c>
      <c r="M1072">
        <v>795</v>
      </c>
      <c r="AG1072">
        <v>9603.23</v>
      </c>
      <c r="AH1072" s="1">
        <v>41640</v>
      </c>
      <c r="AI1072" s="1">
        <v>42735</v>
      </c>
      <c r="AJ1072" s="1">
        <v>41638</v>
      </c>
    </row>
    <row r="1073" spans="1:36" ht="15">
      <c r="A1073" t="str">
        <f>"550298460D"</f>
        <v>550298460D</v>
      </c>
      <c r="B1073" t="str">
        <f t="shared" si="51"/>
        <v>02406911202</v>
      </c>
      <c r="C1073" t="s">
        <v>13</v>
      </c>
      <c r="D1073" t="s">
        <v>37</v>
      </c>
      <c r="E1073" t="s">
        <v>735</v>
      </c>
      <c r="F1073" t="s">
        <v>89</v>
      </c>
      <c r="G1073" t="str">
        <f>"09238800156"</f>
        <v>09238800156</v>
      </c>
      <c r="I1073" t="s">
        <v>257</v>
      </c>
      <c r="L1073" t="s">
        <v>41</v>
      </c>
      <c r="M1073">
        <v>6000</v>
      </c>
      <c r="AG1073">
        <v>0</v>
      </c>
      <c r="AH1073" s="1">
        <v>41640</v>
      </c>
      <c r="AI1073" s="1">
        <v>42735</v>
      </c>
      <c r="AJ1073" s="1">
        <v>41638</v>
      </c>
    </row>
    <row r="1074" spans="1:36" ht="15">
      <c r="A1074" t="str">
        <f>"550298460D"</f>
        <v>550298460D</v>
      </c>
      <c r="B1074" t="str">
        <f t="shared" si="51"/>
        <v>02406911202</v>
      </c>
      <c r="C1074" t="s">
        <v>13</v>
      </c>
      <c r="D1074" t="s">
        <v>37</v>
      </c>
      <c r="E1074" t="s">
        <v>735</v>
      </c>
      <c r="F1074" t="s">
        <v>89</v>
      </c>
      <c r="G1074" t="str">
        <f>"00612690289"</f>
        <v>00612690289</v>
      </c>
      <c r="I1074" t="s">
        <v>737</v>
      </c>
      <c r="L1074" t="s">
        <v>45</v>
      </c>
      <c r="AJ1074" s="1">
        <v>41638</v>
      </c>
    </row>
    <row r="1075" spans="1:36" ht="15">
      <c r="A1075" t="str">
        <f>"550298460D"</f>
        <v>550298460D</v>
      </c>
      <c r="B1075" t="str">
        <f t="shared" si="51"/>
        <v>02406911202</v>
      </c>
      <c r="C1075" t="s">
        <v>13</v>
      </c>
      <c r="D1075" t="s">
        <v>37</v>
      </c>
      <c r="E1075" t="s">
        <v>735</v>
      </c>
      <c r="F1075" t="s">
        <v>89</v>
      </c>
      <c r="G1075" t="str">
        <f>"09331210154"</f>
        <v>09331210154</v>
      </c>
      <c r="I1075" t="s">
        <v>107</v>
      </c>
      <c r="L1075" t="s">
        <v>45</v>
      </c>
      <c r="AJ1075" s="1">
        <v>41638</v>
      </c>
    </row>
    <row r="1076" spans="1:36" ht="15">
      <c r="A1076" t="str">
        <f>"550298460D"</f>
        <v>550298460D</v>
      </c>
      <c r="B1076" t="str">
        <f t="shared" si="51"/>
        <v>02406911202</v>
      </c>
      <c r="C1076" t="s">
        <v>13</v>
      </c>
      <c r="D1076" t="s">
        <v>37</v>
      </c>
      <c r="E1076" t="s">
        <v>735</v>
      </c>
      <c r="F1076" t="s">
        <v>89</v>
      </c>
      <c r="G1076" t="str">
        <f>"12572900152"</f>
        <v>12572900152</v>
      </c>
      <c r="I1076" t="s">
        <v>546</v>
      </c>
      <c r="L1076" t="s">
        <v>45</v>
      </c>
      <c r="AJ1076" s="1">
        <v>41638</v>
      </c>
    </row>
    <row r="1077" spans="1:36" ht="15">
      <c r="A1077" t="str">
        <f>"545525392E"</f>
        <v>545525392E</v>
      </c>
      <c r="B1077" t="str">
        <f t="shared" si="51"/>
        <v>02406911202</v>
      </c>
      <c r="C1077" t="s">
        <v>13</v>
      </c>
      <c r="D1077" t="s">
        <v>37</v>
      </c>
      <c r="E1077" t="s">
        <v>738</v>
      </c>
      <c r="F1077" t="s">
        <v>86</v>
      </c>
      <c r="G1077" t="str">
        <f>"12792100153"</f>
        <v>12792100153</v>
      </c>
      <c r="I1077" t="s">
        <v>739</v>
      </c>
      <c r="L1077" t="s">
        <v>41</v>
      </c>
      <c r="M1077">
        <v>161514</v>
      </c>
      <c r="AG1077">
        <v>179904.22</v>
      </c>
      <c r="AH1077" s="1">
        <v>41640</v>
      </c>
      <c r="AI1077" s="1">
        <v>42369</v>
      </c>
      <c r="AJ1077" s="1">
        <v>41275</v>
      </c>
    </row>
    <row r="1078" spans="1:36" ht="15">
      <c r="A1078" t="str">
        <f>"5511387C6B"</f>
        <v>5511387C6B</v>
      </c>
      <c r="B1078" t="str">
        <f t="shared" si="51"/>
        <v>02406911202</v>
      </c>
      <c r="C1078" t="s">
        <v>13</v>
      </c>
      <c r="D1078" t="s">
        <v>37</v>
      </c>
      <c r="E1078" t="s">
        <v>740</v>
      </c>
      <c r="F1078" t="s">
        <v>86</v>
      </c>
      <c r="G1078" t="str">
        <f>"03717020964"</f>
        <v>03717020964</v>
      </c>
      <c r="I1078" t="s">
        <v>601</v>
      </c>
      <c r="L1078" t="s">
        <v>41</v>
      </c>
      <c r="M1078">
        <v>31058</v>
      </c>
      <c r="AG1078">
        <v>75177.47</v>
      </c>
      <c r="AH1078" s="1">
        <v>41640</v>
      </c>
      <c r="AI1078" s="1">
        <v>42004</v>
      </c>
      <c r="AJ1078" s="1">
        <v>41638</v>
      </c>
    </row>
    <row r="1079" spans="1:36" ht="15">
      <c r="A1079" t="str">
        <f>"5511243598"</f>
        <v>5511243598</v>
      </c>
      <c r="B1079" t="str">
        <f t="shared" si="51"/>
        <v>02406911202</v>
      </c>
      <c r="C1079" t="s">
        <v>13</v>
      </c>
      <c r="D1079" t="s">
        <v>37</v>
      </c>
      <c r="E1079" t="s">
        <v>741</v>
      </c>
      <c r="F1079" t="s">
        <v>39</v>
      </c>
      <c r="G1079" t="str">
        <f>"00803890151"</f>
        <v>00803890151</v>
      </c>
      <c r="I1079" t="s">
        <v>742</v>
      </c>
      <c r="L1079" t="s">
        <v>41</v>
      </c>
      <c r="M1079">
        <v>12200</v>
      </c>
      <c r="AG1079">
        <v>19154</v>
      </c>
      <c r="AH1079" s="1">
        <v>41626</v>
      </c>
      <c r="AI1079" s="1">
        <v>42369</v>
      </c>
      <c r="AJ1079" s="1">
        <v>41638</v>
      </c>
    </row>
    <row r="1080" spans="1:36" ht="15">
      <c r="A1080" t="str">
        <f>"5511271CB1"</f>
        <v>5511271CB1</v>
      </c>
      <c r="B1080" t="str">
        <f t="shared" si="51"/>
        <v>02406911202</v>
      </c>
      <c r="C1080" t="s">
        <v>13</v>
      </c>
      <c r="D1080" t="s">
        <v>37</v>
      </c>
      <c r="E1080" t="s">
        <v>741</v>
      </c>
      <c r="F1080" t="s">
        <v>39</v>
      </c>
      <c r="G1080" t="str">
        <f>"05849130157"</f>
        <v>05849130157</v>
      </c>
      <c r="I1080" t="s">
        <v>549</v>
      </c>
      <c r="L1080" t="s">
        <v>41</v>
      </c>
      <c r="M1080">
        <v>187347</v>
      </c>
      <c r="AG1080">
        <v>253957.64</v>
      </c>
      <c r="AH1080" s="1">
        <v>41626</v>
      </c>
      <c r="AI1080" s="1">
        <v>42369</v>
      </c>
      <c r="AJ1080" s="1">
        <v>41638</v>
      </c>
    </row>
    <row r="1081" spans="1:36" ht="15">
      <c r="A1081" t="str">
        <f>"5452695A40"</f>
        <v>5452695A40</v>
      </c>
      <c r="B1081" t="str">
        <f t="shared" si="51"/>
        <v>02406911202</v>
      </c>
      <c r="C1081" t="s">
        <v>13</v>
      </c>
      <c r="D1081" t="s">
        <v>37</v>
      </c>
      <c r="E1081" t="s">
        <v>743</v>
      </c>
      <c r="F1081" t="s">
        <v>86</v>
      </c>
      <c r="G1081" t="str">
        <f>"01202580377"</f>
        <v>01202580377</v>
      </c>
      <c r="I1081" t="s">
        <v>744</v>
      </c>
      <c r="L1081" t="s">
        <v>41</v>
      </c>
      <c r="M1081">
        <v>60390</v>
      </c>
      <c r="AG1081">
        <v>51136.09</v>
      </c>
      <c r="AH1081" s="1">
        <v>41640</v>
      </c>
      <c r="AI1081" s="1">
        <v>42369</v>
      </c>
      <c r="AJ1081" s="1">
        <v>41638</v>
      </c>
    </row>
    <row r="1082" spans="1:36" ht="15">
      <c r="A1082" t="str">
        <f>"50033574CF"</f>
        <v>50033574CF</v>
      </c>
      <c r="B1082" t="str">
        <f t="shared" si="51"/>
        <v>02406911202</v>
      </c>
      <c r="C1082" t="s">
        <v>13</v>
      </c>
      <c r="D1082" t="s">
        <v>37</v>
      </c>
      <c r="E1082" t="s">
        <v>745</v>
      </c>
      <c r="F1082" t="s">
        <v>106</v>
      </c>
      <c r="G1082" t="str">
        <f>"03893361000"</f>
        <v>03893361000</v>
      </c>
      <c r="I1082" t="s">
        <v>746</v>
      </c>
      <c r="L1082" t="s">
        <v>41</v>
      </c>
      <c r="M1082">
        <v>4632000</v>
      </c>
      <c r="AG1082">
        <v>4796007.38</v>
      </c>
      <c r="AH1082" s="1">
        <v>41671</v>
      </c>
      <c r="AI1082" s="1">
        <v>43131</v>
      </c>
      <c r="AJ1082" s="1">
        <v>41638</v>
      </c>
    </row>
    <row r="1083" spans="1:36" ht="15">
      <c r="A1083" t="str">
        <f>"50033574CF"</f>
        <v>50033574CF</v>
      </c>
      <c r="B1083" t="str">
        <f t="shared" si="51"/>
        <v>02406911202</v>
      </c>
      <c r="C1083" t="s">
        <v>13</v>
      </c>
      <c r="D1083" t="s">
        <v>37</v>
      </c>
      <c r="E1083" t="s">
        <v>745</v>
      </c>
      <c r="F1083" t="s">
        <v>106</v>
      </c>
      <c r="G1083" t="str">
        <f>"00470300377"</f>
        <v>00470300377</v>
      </c>
      <c r="I1083" t="s">
        <v>747</v>
      </c>
      <c r="L1083" t="s">
        <v>45</v>
      </c>
      <c r="AJ1083" s="1">
        <v>41638</v>
      </c>
    </row>
    <row r="1084" spans="1:36" ht="15">
      <c r="A1084" t="str">
        <f>"50033574CF"</f>
        <v>50033574CF</v>
      </c>
      <c r="B1084" t="str">
        <f t="shared" si="51"/>
        <v>02406911202</v>
      </c>
      <c r="C1084" t="s">
        <v>13</v>
      </c>
      <c r="D1084" t="s">
        <v>37</v>
      </c>
      <c r="E1084" t="s">
        <v>745</v>
      </c>
      <c r="F1084" t="s">
        <v>106</v>
      </c>
      <c r="G1084" t="str">
        <f>"02402671206"</f>
        <v>02402671206</v>
      </c>
      <c r="I1084" t="s">
        <v>748</v>
      </c>
      <c r="L1084" t="s">
        <v>45</v>
      </c>
      <c r="AJ1084" s="1">
        <v>41638</v>
      </c>
    </row>
    <row r="1085" spans="1:36" ht="15">
      <c r="A1085" t="str">
        <f>"50033574CF"</f>
        <v>50033574CF</v>
      </c>
      <c r="B1085" t="str">
        <f t="shared" si="51"/>
        <v>02406911202</v>
      </c>
      <c r="C1085" t="s">
        <v>13</v>
      </c>
      <c r="D1085" t="s">
        <v>37</v>
      </c>
      <c r="E1085" t="s">
        <v>745</v>
      </c>
      <c r="F1085" t="s">
        <v>106</v>
      </c>
      <c r="G1085" t="str">
        <f>"01698960547"</f>
        <v>01698960547</v>
      </c>
      <c r="I1085" t="s">
        <v>749</v>
      </c>
      <c r="L1085" t="s">
        <v>45</v>
      </c>
      <c r="AJ1085" s="1">
        <v>41638</v>
      </c>
    </row>
    <row r="1086" spans="1:36" ht="15">
      <c r="A1086" t="str">
        <f>"5519351886"</f>
        <v>5519351886</v>
      </c>
      <c r="B1086" t="str">
        <f t="shared" si="51"/>
        <v>02406911202</v>
      </c>
      <c r="C1086" t="s">
        <v>13</v>
      </c>
      <c r="D1086" t="s">
        <v>37</v>
      </c>
      <c r="E1086" t="s">
        <v>750</v>
      </c>
      <c r="F1086" t="s">
        <v>106</v>
      </c>
      <c r="G1086" t="str">
        <f>"04836380156"</f>
        <v>04836380156</v>
      </c>
      <c r="I1086" t="s">
        <v>751</v>
      </c>
      <c r="L1086" t="s">
        <v>41</v>
      </c>
      <c r="M1086">
        <v>1159345</v>
      </c>
      <c r="AG1086">
        <v>703464.26</v>
      </c>
      <c r="AH1086" s="1">
        <v>41667</v>
      </c>
      <c r="AI1086" s="1">
        <v>43492</v>
      </c>
      <c r="AJ1086" s="1">
        <v>41638</v>
      </c>
    </row>
    <row r="1087" spans="1:36" ht="15">
      <c r="A1087" t="str">
        <f>"5519420179"</f>
        <v>5519420179</v>
      </c>
      <c r="B1087" t="str">
        <f t="shared" si="51"/>
        <v>02406911202</v>
      </c>
      <c r="C1087" t="s">
        <v>13</v>
      </c>
      <c r="D1087" t="s">
        <v>37</v>
      </c>
      <c r="E1087" t="s">
        <v>750</v>
      </c>
      <c r="F1087" t="s">
        <v>106</v>
      </c>
      <c r="G1087" t="str">
        <f>"09412650153"</f>
        <v>09412650153</v>
      </c>
      <c r="I1087" t="s">
        <v>752</v>
      </c>
      <c r="L1087" t="s">
        <v>41</v>
      </c>
      <c r="M1087">
        <v>1128134</v>
      </c>
      <c r="AG1087">
        <v>1601997.03</v>
      </c>
      <c r="AH1087" s="1">
        <v>41667</v>
      </c>
      <c r="AI1087" s="1">
        <v>43492</v>
      </c>
      <c r="AJ1087" s="1">
        <v>41638</v>
      </c>
    </row>
    <row r="1088" spans="1:36" ht="15">
      <c r="A1088" t="str">
        <f>"5519420179"</f>
        <v>5519420179</v>
      </c>
      <c r="B1088" t="str">
        <f t="shared" si="51"/>
        <v>02406911202</v>
      </c>
      <c r="C1088" t="s">
        <v>13</v>
      </c>
      <c r="D1088" t="s">
        <v>37</v>
      </c>
      <c r="E1088" t="s">
        <v>750</v>
      </c>
      <c r="F1088" t="s">
        <v>106</v>
      </c>
      <c r="G1088" t="str">
        <f>"10852890150"</f>
        <v>10852890150</v>
      </c>
      <c r="I1088" t="s">
        <v>563</v>
      </c>
      <c r="L1088" t="s">
        <v>45</v>
      </c>
      <c r="AJ1088" s="1">
        <v>41638</v>
      </c>
    </row>
    <row r="1089" spans="1:36" ht="15">
      <c r="A1089" t="str">
        <f>"5505203D38"</f>
        <v>5505203D38</v>
      </c>
      <c r="B1089" t="str">
        <f t="shared" si="51"/>
        <v>02406911202</v>
      </c>
      <c r="C1089" t="s">
        <v>13</v>
      </c>
      <c r="D1089" t="s">
        <v>37</v>
      </c>
      <c r="E1089" t="s">
        <v>753</v>
      </c>
      <c r="F1089" t="s">
        <v>86</v>
      </c>
      <c r="G1089" t="str">
        <f>"00856750153"</f>
        <v>00856750153</v>
      </c>
      <c r="I1089" t="s">
        <v>54</v>
      </c>
      <c r="L1089" t="s">
        <v>41</v>
      </c>
      <c r="M1089">
        <v>311304</v>
      </c>
      <c r="AG1089">
        <v>285646.5</v>
      </c>
      <c r="AH1089" s="1">
        <v>41640</v>
      </c>
      <c r="AI1089" s="1">
        <v>44196</v>
      </c>
      <c r="AJ1089" s="1">
        <v>41638</v>
      </c>
    </row>
    <row r="1090" spans="1:36" ht="15">
      <c r="A1090" t="str">
        <f>"5459055AB0"</f>
        <v>5459055AB0</v>
      </c>
      <c r="B1090" t="str">
        <f aca="true" t="shared" si="52" ref="B1090:B1153">"02406911202"</f>
        <v>02406911202</v>
      </c>
      <c r="C1090" t="s">
        <v>13</v>
      </c>
      <c r="D1090" t="s">
        <v>37</v>
      </c>
      <c r="E1090" t="s">
        <v>754</v>
      </c>
      <c r="F1090" t="s">
        <v>86</v>
      </c>
      <c r="G1090" t="str">
        <f>"10994940152"</f>
        <v>10994940152</v>
      </c>
      <c r="I1090" t="s">
        <v>755</v>
      </c>
      <c r="L1090" t="s">
        <v>41</v>
      </c>
      <c r="M1090">
        <v>33608</v>
      </c>
      <c r="AG1090">
        <v>33608</v>
      </c>
      <c r="AH1090" s="1">
        <v>41671</v>
      </c>
      <c r="AI1090" s="1">
        <v>42004</v>
      </c>
      <c r="AJ1090" s="1">
        <v>41638</v>
      </c>
    </row>
    <row r="1091" spans="1:36" ht="15">
      <c r="A1091" t="str">
        <f aca="true" t="shared" si="53" ref="A1091:A1107">"5516505BED"</f>
        <v>5516505BED</v>
      </c>
      <c r="B1091" t="str">
        <f t="shared" si="52"/>
        <v>02406911202</v>
      </c>
      <c r="C1091" t="s">
        <v>13</v>
      </c>
      <c r="D1091" t="s">
        <v>37</v>
      </c>
      <c r="E1091" t="s">
        <v>756</v>
      </c>
      <c r="F1091" t="s">
        <v>106</v>
      </c>
      <c r="G1091" t="str">
        <f>"07297190154"</f>
        <v>07297190154</v>
      </c>
      <c r="I1091" t="s">
        <v>447</v>
      </c>
      <c r="L1091" t="s">
        <v>45</v>
      </c>
      <c r="AJ1091" s="1">
        <v>41638</v>
      </c>
    </row>
    <row r="1092" spans="1:36" ht="15">
      <c r="A1092" t="str">
        <f t="shared" si="53"/>
        <v>5516505BED</v>
      </c>
      <c r="B1092" t="str">
        <f t="shared" si="52"/>
        <v>02406911202</v>
      </c>
      <c r="C1092" t="s">
        <v>13</v>
      </c>
      <c r="D1092" t="s">
        <v>37</v>
      </c>
      <c r="E1092" t="s">
        <v>756</v>
      </c>
      <c r="F1092" t="s">
        <v>106</v>
      </c>
      <c r="G1092" t="str">
        <f>"00868480153"</f>
        <v>00868480153</v>
      </c>
      <c r="I1092" t="s">
        <v>254</v>
      </c>
      <c r="L1092" t="s">
        <v>41</v>
      </c>
      <c r="M1092">
        <v>14850</v>
      </c>
      <c r="AG1092">
        <v>0</v>
      </c>
      <c r="AH1092" s="1">
        <v>41671</v>
      </c>
      <c r="AI1092" s="1">
        <v>42766</v>
      </c>
      <c r="AJ1092" s="1">
        <v>41638</v>
      </c>
    </row>
    <row r="1093" spans="1:36" ht="15">
      <c r="A1093" t="str">
        <f t="shared" si="53"/>
        <v>5516505BED</v>
      </c>
      <c r="B1093" t="str">
        <f t="shared" si="52"/>
        <v>02406911202</v>
      </c>
      <c r="C1093" t="s">
        <v>13</v>
      </c>
      <c r="D1093" t="s">
        <v>37</v>
      </c>
      <c r="E1093" t="s">
        <v>756</v>
      </c>
      <c r="F1093" t="s">
        <v>106</v>
      </c>
      <c r="G1093" t="str">
        <f>"02307060281"</f>
        <v>02307060281</v>
      </c>
      <c r="I1093" t="s">
        <v>757</v>
      </c>
      <c r="L1093" t="s">
        <v>45</v>
      </c>
      <c r="AJ1093" s="1">
        <v>41638</v>
      </c>
    </row>
    <row r="1094" spans="1:36" ht="15">
      <c r="A1094" t="str">
        <f t="shared" si="53"/>
        <v>5516505BED</v>
      </c>
      <c r="B1094" t="str">
        <f t="shared" si="52"/>
        <v>02406911202</v>
      </c>
      <c r="C1094" t="s">
        <v>13</v>
      </c>
      <c r="D1094" t="s">
        <v>37</v>
      </c>
      <c r="E1094" t="s">
        <v>756</v>
      </c>
      <c r="F1094" t="s">
        <v>106</v>
      </c>
      <c r="G1094" t="str">
        <f>"07931650589"</f>
        <v>07931650589</v>
      </c>
      <c r="I1094" t="s">
        <v>129</v>
      </c>
      <c r="L1094" t="s">
        <v>45</v>
      </c>
      <c r="AJ1094" s="1">
        <v>41638</v>
      </c>
    </row>
    <row r="1095" spans="1:36" ht="15">
      <c r="A1095" t="str">
        <f t="shared" si="53"/>
        <v>5516505BED</v>
      </c>
      <c r="B1095" t="str">
        <f t="shared" si="52"/>
        <v>02406911202</v>
      </c>
      <c r="C1095" t="s">
        <v>13</v>
      </c>
      <c r="D1095" t="s">
        <v>37</v>
      </c>
      <c r="E1095" t="s">
        <v>756</v>
      </c>
      <c r="F1095" t="s">
        <v>106</v>
      </c>
      <c r="G1095" t="str">
        <f>"09699320017"</f>
        <v>09699320017</v>
      </c>
      <c r="I1095" t="s">
        <v>253</v>
      </c>
      <c r="L1095" t="s">
        <v>45</v>
      </c>
      <c r="AJ1095" s="1">
        <v>41638</v>
      </c>
    </row>
    <row r="1096" spans="1:36" ht="15">
      <c r="A1096" t="str">
        <f t="shared" si="53"/>
        <v>5516505BED</v>
      </c>
      <c r="B1096" t="str">
        <f t="shared" si="52"/>
        <v>02406911202</v>
      </c>
      <c r="C1096" t="s">
        <v>13</v>
      </c>
      <c r="D1096" t="s">
        <v>37</v>
      </c>
      <c r="E1096" t="s">
        <v>756</v>
      </c>
      <c r="F1096" t="s">
        <v>106</v>
      </c>
      <c r="G1096" t="str">
        <f>"11206730159"</f>
        <v>11206730159</v>
      </c>
      <c r="I1096" t="s">
        <v>255</v>
      </c>
      <c r="L1096" t="s">
        <v>45</v>
      </c>
      <c r="AJ1096" s="1">
        <v>41638</v>
      </c>
    </row>
    <row r="1097" spans="1:36" ht="15">
      <c r="A1097" t="str">
        <f t="shared" si="53"/>
        <v>5516505BED</v>
      </c>
      <c r="B1097" t="str">
        <f t="shared" si="52"/>
        <v>02406911202</v>
      </c>
      <c r="C1097" t="s">
        <v>13</v>
      </c>
      <c r="D1097" t="s">
        <v>37</v>
      </c>
      <c r="E1097" t="s">
        <v>756</v>
      </c>
      <c r="F1097" t="s">
        <v>106</v>
      </c>
      <c r="G1097" t="str">
        <f>"07123400157"</f>
        <v>07123400157</v>
      </c>
      <c r="I1097" t="s">
        <v>645</v>
      </c>
      <c r="L1097" t="s">
        <v>45</v>
      </c>
      <c r="AJ1097" s="1">
        <v>41638</v>
      </c>
    </row>
    <row r="1098" spans="1:36" ht="15">
      <c r="A1098" t="str">
        <f t="shared" si="53"/>
        <v>5516505BED</v>
      </c>
      <c r="B1098" t="str">
        <f t="shared" si="52"/>
        <v>02406911202</v>
      </c>
      <c r="C1098" t="s">
        <v>13</v>
      </c>
      <c r="D1098" t="s">
        <v>37</v>
      </c>
      <c r="E1098" t="s">
        <v>756</v>
      </c>
      <c r="F1098" t="s">
        <v>106</v>
      </c>
      <c r="G1098" t="str">
        <f>"08641790152"</f>
        <v>08641790152</v>
      </c>
      <c r="I1098" t="s">
        <v>114</v>
      </c>
      <c r="L1098" t="s">
        <v>45</v>
      </c>
      <c r="AJ1098" s="1">
        <v>41638</v>
      </c>
    </row>
    <row r="1099" spans="1:36" ht="15">
      <c r="A1099" t="str">
        <f t="shared" si="53"/>
        <v>5516505BED</v>
      </c>
      <c r="B1099" t="str">
        <f t="shared" si="52"/>
        <v>02406911202</v>
      </c>
      <c r="C1099" t="s">
        <v>13</v>
      </c>
      <c r="D1099" t="s">
        <v>37</v>
      </c>
      <c r="E1099" t="s">
        <v>756</v>
      </c>
      <c r="F1099" t="s">
        <v>106</v>
      </c>
      <c r="G1099" t="str">
        <f>"01990200170"</f>
        <v>01990200170</v>
      </c>
      <c r="I1099" t="s">
        <v>758</v>
      </c>
      <c r="L1099" t="s">
        <v>45</v>
      </c>
      <c r="AJ1099" s="1">
        <v>41638</v>
      </c>
    </row>
    <row r="1100" spans="1:36" ht="15">
      <c r="A1100" t="str">
        <f t="shared" si="53"/>
        <v>5516505BED</v>
      </c>
      <c r="B1100" t="str">
        <f t="shared" si="52"/>
        <v>02406911202</v>
      </c>
      <c r="C1100" t="s">
        <v>13</v>
      </c>
      <c r="D1100" t="s">
        <v>37</v>
      </c>
      <c r="E1100" t="s">
        <v>756</v>
      </c>
      <c r="F1100" t="s">
        <v>106</v>
      </c>
      <c r="G1100" t="str">
        <f>"04094700376"</f>
        <v>04094700376</v>
      </c>
      <c r="I1100" t="s">
        <v>256</v>
      </c>
      <c r="L1100" t="s">
        <v>45</v>
      </c>
      <c r="AJ1100" s="1">
        <v>41638</v>
      </c>
    </row>
    <row r="1101" spans="1:36" ht="15">
      <c r="A1101" t="str">
        <f t="shared" si="53"/>
        <v>5516505BED</v>
      </c>
      <c r="B1101" t="str">
        <f t="shared" si="52"/>
        <v>02406911202</v>
      </c>
      <c r="C1101" t="s">
        <v>13</v>
      </c>
      <c r="D1101" t="s">
        <v>37</v>
      </c>
      <c r="E1101" t="s">
        <v>756</v>
      </c>
      <c r="F1101" t="s">
        <v>106</v>
      </c>
      <c r="G1101" t="str">
        <f>"08082461008"</f>
        <v>08082461008</v>
      </c>
      <c r="I1101" t="s">
        <v>132</v>
      </c>
      <c r="L1101" t="s">
        <v>45</v>
      </c>
      <c r="AJ1101" s="1">
        <v>41638</v>
      </c>
    </row>
    <row r="1102" spans="1:36" ht="15">
      <c r="A1102" t="str">
        <f t="shared" si="53"/>
        <v>5516505BED</v>
      </c>
      <c r="B1102" t="str">
        <f t="shared" si="52"/>
        <v>02406911202</v>
      </c>
      <c r="C1102" t="s">
        <v>13</v>
      </c>
      <c r="D1102" t="s">
        <v>37</v>
      </c>
      <c r="E1102" t="s">
        <v>756</v>
      </c>
      <c r="F1102" t="s">
        <v>106</v>
      </c>
      <c r="G1102" t="str">
        <f>"00420240376"</f>
        <v>00420240376</v>
      </c>
      <c r="I1102" t="s">
        <v>759</v>
      </c>
      <c r="L1102" t="s">
        <v>45</v>
      </c>
      <c r="AJ1102" s="1">
        <v>41638</v>
      </c>
    </row>
    <row r="1103" spans="1:36" ht="15">
      <c r="A1103" t="str">
        <f t="shared" si="53"/>
        <v>5516505BED</v>
      </c>
      <c r="B1103" t="str">
        <f t="shared" si="52"/>
        <v>02406911202</v>
      </c>
      <c r="C1103" t="s">
        <v>13</v>
      </c>
      <c r="D1103" t="s">
        <v>37</v>
      </c>
      <c r="E1103" t="s">
        <v>756</v>
      </c>
      <c r="F1103" t="s">
        <v>106</v>
      </c>
      <c r="G1103" t="str">
        <f>"02812360101"</f>
        <v>02812360101</v>
      </c>
      <c r="I1103" t="s">
        <v>445</v>
      </c>
      <c r="L1103" t="s">
        <v>45</v>
      </c>
      <c r="AJ1103" s="1">
        <v>41638</v>
      </c>
    </row>
    <row r="1104" spans="1:36" ht="15">
      <c r="A1104" t="str">
        <f t="shared" si="53"/>
        <v>5516505BED</v>
      </c>
      <c r="B1104" t="str">
        <f t="shared" si="52"/>
        <v>02406911202</v>
      </c>
      <c r="C1104" t="s">
        <v>13</v>
      </c>
      <c r="D1104" t="s">
        <v>37</v>
      </c>
      <c r="E1104" t="s">
        <v>756</v>
      </c>
      <c r="F1104" t="s">
        <v>106</v>
      </c>
      <c r="G1104" t="str">
        <f>"11575580151"</f>
        <v>11575580151</v>
      </c>
      <c r="I1104" t="s">
        <v>570</v>
      </c>
      <c r="L1104" t="s">
        <v>45</v>
      </c>
      <c r="AJ1104" s="1">
        <v>41638</v>
      </c>
    </row>
    <row r="1105" spans="1:36" ht="15">
      <c r="A1105" t="str">
        <f t="shared" si="53"/>
        <v>5516505BED</v>
      </c>
      <c r="B1105" t="str">
        <f t="shared" si="52"/>
        <v>02406911202</v>
      </c>
      <c r="C1105" t="s">
        <v>13</v>
      </c>
      <c r="D1105" t="s">
        <v>37</v>
      </c>
      <c r="E1105" t="s">
        <v>756</v>
      </c>
      <c r="F1105" t="s">
        <v>106</v>
      </c>
      <c r="G1105" t="str">
        <f>"01681100150"</f>
        <v>01681100150</v>
      </c>
      <c r="I1105" t="s">
        <v>155</v>
      </c>
      <c r="L1105" t="s">
        <v>45</v>
      </c>
      <c r="AJ1105" s="1">
        <v>41638</v>
      </c>
    </row>
    <row r="1106" spans="1:36" ht="15">
      <c r="A1106" t="str">
        <f t="shared" si="53"/>
        <v>5516505BED</v>
      </c>
      <c r="B1106" t="str">
        <f t="shared" si="52"/>
        <v>02406911202</v>
      </c>
      <c r="C1106" t="s">
        <v>13</v>
      </c>
      <c r="D1106" t="s">
        <v>37</v>
      </c>
      <c r="E1106" t="s">
        <v>756</v>
      </c>
      <c r="F1106" t="s">
        <v>106</v>
      </c>
      <c r="G1106" t="str">
        <f>"07279701002"</f>
        <v>07279701002</v>
      </c>
      <c r="I1106" t="s">
        <v>760</v>
      </c>
      <c r="L1106" t="s">
        <v>45</v>
      </c>
      <c r="AJ1106" s="1">
        <v>41638</v>
      </c>
    </row>
    <row r="1107" spans="1:36" ht="15">
      <c r="A1107" t="str">
        <f t="shared" si="53"/>
        <v>5516505BED</v>
      </c>
      <c r="B1107" t="str">
        <f t="shared" si="52"/>
        <v>02406911202</v>
      </c>
      <c r="C1107" t="s">
        <v>13</v>
      </c>
      <c r="D1107" t="s">
        <v>37</v>
      </c>
      <c r="E1107" t="s">
        <v>756</v>
      </c>
      <c r="F1107" t="s">
        <v>106</v>
      </c>
      <c r="G1107" t="str">
        <f>"03748120155"</f>
        <v>03748120155</v>
      </c>
      <c r="I1107" t="s">
        <v>136</v>
      </c>
      <c r="L1107" t="s">
        <v>45</v>
      </c>
      <c r="AJ1107" s="1">
        <v>41638</v>
      </c>
    </row>
    <row r="1108" spans="1:36" ht="15">
      <c r="A1108" t="str">
        <f aca="true" t="shared" si="54" ref="A1108:A1124">"55153090F8"</f>
        <v>55153090F8</v>
      </c>
      <c r="B1108" t="str">
        <f t="shared" si="52"/>
        <v>02406911202</v>
      </c>
      <c r="C1108" t="s">
        <v>13</v>
      </c>
      <c r="D1108" t="s">
        <v>37</v>
      </c>
      <c r="E1108" t="s">
        <v>756</v>
      </c>
      <c r="F1108" t="s">
        <v>106</v>
      </c>
      <c r="G1108" t="str">
        <f>"07297190154"</f>
        <v>07297190154</v>
      </c>
      <c r="I1108" t="s">
        <v>447</v>
      </c>
      <c r="L1108" t="s">
        <v>45</v>
      </c>
      <c r="AJ1108" s="1">
        <v>41638</v>
      </c>
    </row>
    <row r="1109" spans="1:36" ht="15">
      <c r="A1109" t="str">
        <f t="shared" si="54"/>
        <v>55153090F8</v>
      </c>
      <c r="B1109" t="str">
        <f t="shared" si="52"/>
        <v>02406911202</v>
      </c>
      <c r="C1109" t="s">
        <v>13</v>
      </c>
      <c r="D1109" t="s">
        <v>37</v>
      </c>
      <c r="E1109" t="s">
        <v>756</v>
      </c>
      <c r="F1109" t="s">
        <v>106</v>
      </c>
      <c r="G1109" t="str">
        <f>"00868480153"</f>
        <v>00868480153</v>
      </c>
      <c r="I1109" t="s">
        <v>254</v>
      </c>
      <c r="L1109" t="s">
        <v>45</v>
      </c>
      <c r="AJ1109" s="1">
        <v>41638</v>
      </c>
    </row>
    <row r="1110" spans="1:36" ht="15">
      <c r="A1110" t="str">
        <f t="shared" si="54"/>
        <v>55153090F8</v>
      </c>
      <c r="B1110" t="str">
        <f t="shared" si="52"/>
        <v>02406911202</v>
      </c>
      <c r="C1110" t="s">
        <v>13</v>
      </c>
      <c r="D1110" t="s">
        <v>37</v>
      </c>
      <c r="E1110" t="s">
        <v>756</v>
      </c>
      <c r="F1110" t="s">
        <v>106</v>
      </c>
      <c r="G1110" t="str">
        <f>"02307060281"</f>
        <v>02307060281</v>
      </c>
      <c r="I1110" t="s">
        <v>757</v>
      </c>
      <c r="L1110" t="s">
        <v>45</v>
      </c>
      <c r="AJ1110" s="1">
        <v>41638</v>
      </c>
    </row>
    <row r="1111" spans="1:36" ht="15">
      <c r="A1111" t="str">
        <f t="shared" si="54"/>
        <v>55153090F8</v>
      </c>
      <c r="B1111" t="str">
        <f t="shared" si="52"/>
        <v>02406911202</v>
      </c>
      <c r="C1111" t="s">
        <v>13</v>
      </c>
      <c r="D1111" t="s">
        <v>37</v>
      </c>
      <c r="E1111" t="s">
        <v>756</v>
      </c>
      <c r="F1111" t="s">
        <v>106</v>
      </c>
      <c r="G1111" t="str">
        <f>"07931650589"</f>
        <v>07931650589</v>
      </c>
      <c r="I1111" t="s">
        <v>129</v>
      </c>
      <c r="L1111" t="s">
        <v>45</v>
      </c>
      <c r="AJ1111" s="1">
        <v>41638</v>
      </c>
    </row>
    <row r="1112" spans="1:36" ht="15">
      <c r="A1112" t="str">
        <f t="shared" si="54"/>
        <v>55153090F8</v>
      </c>
      <c r="B1112" t="str">
        <f t="shared" si="52"/>
        <v>02406911202</v>
      </c>
      <c r="C1112" t="s">
        <v>13</v>
      </c>
      <c r="D1112" t="s">
        <v>37</v>
      </c>
      <c r="E1112" t="s">
        <v>756</v>
      </c>
      <c r="F1112" t="s">
        <v>106</v>
      </c>
      <c r="G1112" t="str">
        <f>"09699320017"</f>
        <v>09699320017</v>
      </c>
      <c r="I1112" t="s">
        <v>253</v>
      </c>
      <c r="L1112" t="s">
        <v>41</v>
      </c>
      <c r="M1112">
        <v>20790</v>
      </c>
      <c r="AG1112">
        <v>0</v>
      </c>
      <c r="AH1112" s="1">
        <v>41671</v>
      </c>
      <c r="AI1112" s="1">
        <v>42766</v>
      </c>
      <c r="AJ1112" s="1">
        <v>41638</v>
      </c>
    </row>
    <row r="1113" spans="1:36" ht="15">
      <c r="A1113" t="str">
        <f t="shared" si="54"/>
        <v>55153090F8</v>
      </c>
      <c r="B1113" t="str">
        <f t="shared" si="52"/>
        <v>02406911202</v>
      </c>
      <c r="C1113" t="s">
        <v>13</v>
      </c>
      <c r="D1113" t="s">
        <v>37</v>
      </c>
      <c r="E1113" t="s">
        <v>756</v>
      </c>
      <c r="F1113" t="s">
        <v>106</v>
      </c>
      <c r="G1113" t="str">
        <f>"11206730159"</f>
        <v>11206730159</v>
      </c>
      <c r="I1113" t="s">
        <v>255</v>
      </c>
      <c r="L1113" t="s">
        <v>45</v>
      </c>
      <c r="AJ1113" s="1">
        <v>41638</v>
      </c>
    </row>
    <row r="1114" spans="1:36" ht="15">
      <c r="A1114" t="str">
        <f t="shared" si="54"/>
        <v>55153090F8</v>
      </c>
      <c r="B1114" t="str">
        <f t="shared" si="52"/>
        <v>02406911202</v>
      </c>
      <c r="C1114" t="s">
        <v>13</v>
      </c>
      <c r="D1114" t="s">
        <v>37</v>
      </c>
      <c r="E1114" t="s">
        <v>756</v>
      </c>
      <c r="F1114" t="s">
        <v>106</v>
      </c>
      <c r="G1114" t="str">
        <f>"07123400157"</f>
        <v>07123400157</v>
      </c>
      <c r="I1114" t="s">
        <v>645</v>
      </c>
      <c r="L1114" t="s">
        <v>45</v>
      </c>
      <c r="AJ1114" s="1">
        <v>41638</v>
      </c>
    </row>
    <row r="1115" spans="1:36" ht="15">
      <c r="A1115" t="str">
        <f t="shared" si="54"/>
        <v>55153090F8</v>
      </c>
      <c r="B1115" t="str">
        <f t="shared" si="52"/>
        <v>02406911202</v>
      </c>
      <c r="C1115" t="s">
        <v>13</v>
      </c>
      <c r="D1115" t="s">
        <v>37</v>
      </c>
      <c r="E1115" t="s">
        <v>756</v>
      </c>
      <c r="F1115" t="s">
        <v>106</v>
      </c>
      <c r="G1115" t="str">
        <f>"08641790152"</f>
        <v>08641790152</v>
      </c>
      <c r="I1115" t="s">
        <v>114</v>
      </c>
      <c r="L1115" t="s">
        <v>45</v>
      </c>
      <c r="AJ1115" s="1">
        <v>41638</v>
      </c>
    </row>
    <row r="1116" spans="1:36" ht="15">
      <c r="A1116" t="str">
        <f t="shared" si="54"/>
        <v>55153090F8</v>
      </c>
      <c r="B1116" t="str">
        <f t="shared" si="52"/>
        <v>02406911202</v>
      </c>
      <c r="C1116" t="s">
        <v>13</v>
      </c>
      <c r="D1116" t="s">
        <v>37</v>
      </c>
      <c r="E1116" t="s">
        <v>756</v>
      </c>
      <c r="F1116" t="s">
        <v>106</v>
      </c>
      <c r="G1116" t="str">
        <f>"01990200170"</f>
        <v>01990200170</v>
      </c>
      <c r="I1116" t="s">
        <v>758</v>
      </c>
      <c r="L1116" t="s">
        <v>45</v>
      </c>
      <c r="AJ1116" s="1">
        <v>41638</v>
      </c>
    </row>
    <row r="1117" spans="1:36" ht="15">
      <c r="A1117" t="str">
        <f t="shared" si="54"/>
        <v>55153090F8</v>
      </c>
      <c r="B1117" t="str">
        <f t="shared" si="52"/>
        <v>02406911202</v>
      </c>
      <c r="C1117" t="s">
        <v>13</v>
      </c>
      <c r="D1117" t="s">
        <v>37</v>
      </c>
      <c r="E1117" t="s">
        <v>756</v>
      </c>
      <c r="F1117" t="s">
        <v>106</v>
      </c>
      <c r="G1117" t="str">
        <f>"04094700376"</f>
        <v>04094700376</v>
      </c>
      <c r="I1117" t="s">
        <v>256</v>
      </c>
      <c r="L1117" t="s">
        <v>45</v>
      </c>
      <c r="AJ1117" s="1">
        <v>41638</v>
      </c>
    </row>
    <row r="1118" spans="1:36" ht="15">
      <c r="A1118" t="str">
        <f t="shared" si="54"/>
        <v>55153090F8</v>
      </c>
      <c r="B1118" t="str">
        <f t="shared" si="52"/>
        <v>02406911202</v>
      </c>
      <c r="C1118" t="s">
        <v>13</v>
      </c>
      <c r="D1118" t="s">
        <v>37</v>
      </c>
      <c r="E1118" t="s">
        <v>756</v>
      </c>
      <c r="F1118" t="s">
        <v>106</v>
      </c>
      <c r="G1118" t="str">
        <f>"08082461008"</f>
        <v>08082461008</v>
      </c>
      <c r="I1118" t="s">
        <v>132</v>
      </c>
      <c r="L1118" t="s">
        <v>45</v>
      </c>
      <c r="AJ1118" s="1">
        <v>41638</v>
      </c>
    </row>
    <row r="1119" spans="1:36" ht="15">
      <c r="A1119" t="str">
        <f t="shared" si="54"/>
        <v>55153090F8</v>
      </c>
      <c r="B1119" t="str">
        <f t="shared" si="52"/>
        <v>02406911202</v>
      </c>
      <c r="C1119" t="s">
        <v>13</v>
      </c>
      <c r="D1119" t="s">
        <v>37</v>
      </c>
      <c r="E1119" t="s">
        <v>756</v>
      </c>
      <c r="F1119" t="s">
        <v>106</v>
      </c>
      <c r="G1119" t="str">
        <f>"00420240376"</f>
        <v>00420240376</v>
      </c>
      <c r="I1119" t="s">
        <v>759</v>
      </c>
      <c r="L1119" t="s">
        <v>45</v>
      </c>
      <c r="AJ1119" s="1">
        <v>41638</v>
      </c>
    </row>
    <row r="1120" spans="1:36" ht="15">
      <c r="A1120" t="str">
        <f t="shared" si="54"/>
        <v>55153090F8</v>
      </c>
      <c r="B1120" t="str">
        <f t="shared" si="52"/>
        <v>02406911202</v>
      </c>
      <c r="C1120" t="s">
        <v>13</v>
      </c>
      <c r="D1120" t="s">
        <v>37</v>
      </c>
      <c r="E1120" t="s">
        <v>756</v>
      </c>
      <c r="F1120" t="s">
        <v>106</v>
      </c>
      <c r="G1120" t="str">
        <f>"02812360101"</f>
        <v>02812360101</v>
      </c>
      <c r="I1120" t="s">
        <v>445</v>
      </c>
      <c r="L1120" t="s">
        <v>45</v>
      </c>
      <c r="AJ1120" s="1">
        <v>41638</v>
      </c>
    </row>
    <row r="1121" spans="1:36" ht="15">
      <c r="A1121" t="str">
        <f t="shared" si="54"/>
        <v>55153090F8</v>
      </c>
      <c r="B1121" t="str">
        <f t="shared" si="52"/>
        <v>02406911202</v>
      </c>
      <c r="C1121" t="s">
        <v>13</v>
      </c>
      <c r="D1121" t="s">
        <v>37</v>
      </c>
      <c r="E1121" t="s">
        <v>756</v>
      </c>
      <c r="F1121" t="s">
        <v>106</v>
      </c>
      <c r="G1121" t="str">
        <f>"11575580151"</f>
        <v>11575580151</v>
      </c>
      <c r="I1121" t="s">
        <v>570</v>
      </c>
      <c r="L1121" t="s">
        <v>45</v>
      </c>
      <c r="AJ1121" s="1">
        <v>41638</v>
      </c>
    </row>
    <row r="1122" spans="1:36" ht="15">
      <c r="A1122" t="str">
        <f t="shared" si="54"/>
        <v>55153090F8</v>
      </c>
      <c r="B1122" t="str">
        <f t="shared" si="52"/>
        <v>02406911202</v>
      </c>
      <c r="C1122" t="s">
        <v>13</v>
      </c>
      <c r="D1122" t="s">
        <v>37</v>
      </c>
      <c r="E1122" t="s">
        <v>756</v>
      </c>
      <c r="F1122" t="s">
        <v>106</v>
      </c>
      <c r="G1122" t="str">
        <f>"01681100150"</f>
        <v>01681100150</v>
      </c>
      <c r="I1122" t="s">
        <v>155</v>
      </c>
      <c r="L1122" t="s">
        <v>45</v>
      </c>
      <c r="AJ1122" s="1">
        <v>41638</v>
      </c>
    </row>
    <row r="1123" spans="1:36" ht="15">
      <c r="A1123" t="str">
        <f t="shared" si="54"/>
        <v>55153090F8</v>
      </c>
      <c r="B1123" t="str">
        <f t="shared" si="52"/>
        <v>02406911202</v>
      </c>
      <c r="C1123" t="s">
        <v>13</v>
      </c>
      <c r="D1123" t="s">
        <v>37</v>
      </c>
      <c r="E1123" t="s">
        <v>756</v>
      </c>
      <c r="F1123" t="s">
        <v>106</v>
      </c>
      <c r="G1123" t="str">
        <f>"07279701002"</f>
        <v>07279701002</v>
      </c>
      <c r="I1123" t="s">
        <v>760</v>
      </c>
      <c r="L1123" t="s">
        <v>45</v>
      </c>
      <c r="AJ1123" s="1">
        <v>41638</v>
      </c>
    </row>
    <row r="1124" spans="1:36" ht="15">
      <c r="A1124" t="str">
        <f t="shared" si="54"/>
        <v>55153090F8</v>
      </c>
      <c r="B1124" t="str">
        <f t="shared" si="52"/>
        <v>02406911202</v>
      </c>
      <c r="C1124" t="s">
        <v>13</v>
      </c>
      <c r="D1124" t="s">
        <v>37</v>
      </c>
      <c r="E1124" t="s">
        <v>756</v>
      </c>
      <c r="F1124" t="s">
        <v>106</v>
      </c>
      <c r="G1124" t="str">
        <f>"03748120155"</f>
        <v>03748120155</v>
      </c>
      <c r="I1124" t="s">
        <v>136</v>
      </c>
      <c r="L1124" t="s">
        <v>45</v>
      </c>
      <c r="AJ1124" s="1">
        <v>41638</v>
      </c>
    </row>
    <row r="1125" spans="1:36" ht="15">
      <c r="A1125" t="str">
        <f aca="true" t="shared" si="55" ref="A1125:A1141">"5515151E91"</f>
        <v>5515151E91</v>
      </c>
      <c r="B1125" t="str">
        <f t="shared" si="52"/>
        <v>02406911202</v>
      </c>
      <c r="C1125" t="s">
        <v>13</v>
      </c>
      <c r="D1125" t="s">
        <v>37</v>
      </c>
      <c r="E1125" t="s">
        <v>756</v>
      </c>
      <c r="F1125" t="s">
        <v>106</v>
      </c>
      <c r="G1125" t="str">
        <f>"07297190154"</f>
        <v>07297190154</v>
      </c>
      <c r="I1125" t="s">
        <v>447</v>
      </c>
      <c r="L1125" t="s">
        <v>45</v>
      </c>
      <c r="AJ1125" s="1">
        <v>41638</v>
      </c>
    </row>
    <row r="1126" spans="1:36" ht="15">
      <c r="A1126" t="str">
        <f t="shared" si="55"/>
        <v>5515151E91</v>
      </c>
      <c r="B1126" t="str">
        <f t="shared" si="52"/>
        <v>02406911202</v>
      </c>
      <c r="C1126" t="s">
        <v>13</v>
      </c>
      <c r="D1126" t="s">
        <v>37</v>
      </c>
      <c r="E1126" t="s">
        <v>756</v>
      </c>
      <c r="F1126" t="s">
        <v>106</v>
      </c>
      <c r="G1126" t="str">
        <f>"00868480153"</f>
        <v>00868480153</v>
      </c>
      <c r="I1126" t="s">
        <v>254</v>
      </c>
      <c r="L1126" t="s">
        <v>45</v>
      </c>
      <c r="AJ1126" s="1">
        <v>41638</v>
      </c>
    </row>
    <row r="1127" spans="1:36" ht="15">
      <c r="A1127" t="str">
        <f t="shared" si="55"/>
        <v>5515151E91</v>
      </c>
      <c r="B1127" t="str">
        <f t="shared" si="52"/>
        <v>02406911202</v>
      </c>
      <c r="C1127" t="s">
        <v>13</v>
      </c>
      <c r="D1127" t="s">
        <v>37</v>
      </c>
      <c r="E1127" t="s">
        <v>756</v>
      </c>
      <c r="F1127" t="s">
        <v>106</v>
      </c>
      <c r="G1127" t="str">
        <f>"02307060281"</f>
        <v>02307060281</v>
      </c>
      <c r="I1127" t="s">
        <v>757</v>
      </c>
      <c r="L1127" t="s">
        <v>45</v>
      </c>
      <c r="AJ1127" s="1">
        <v>41638</v>
      </c>
    </row>
    <row r="1128" spans="1:36" ht="15">
      <c r="A1128" t="str">
        <f t="shared" si="55"/>
        <v>5515151E91</v>
      </c>
      <c r="B1128" t="str">
        <f t="shared" si="52"/>
        <v>02406911202</v>
      </c>
      <c r="C1128" t="s">
        <v>13</v>
      </c>
      <c r="D1128" t="s">
        <v>37</v>
      </c>
      <c r="E1128" t="s">
        <v>756</v>
      </c>
      <c r="F1128" t="s">
        <v>106</v>
      </c>
      <c r="G1128" t="str">
        <f>"07931650589"</f>
        <v>07931650589</v>
      </c>
      <c r="I1128" t="s">
        <v>129</v>
      </c>
      <c r="L1128" t="s">
        <v>45</v>
      </c>
      <c r="AJ1128" s="1">
        <v>41638</v>
      </c>
    </row>
    <row r="1129" spans="1:36" ht="15">
      <c r="A1129" t="str">
        <f t="shared" si="55"/>
        <v>5515151E91</v>
      </c>
      <c r="B1129" t="str">
        <f t="shared" si="52"/>
        <v>02406911202</v>
      </c>
      <c r="C1129" t="s">
        <v>13</v>
      </c>
      <c r="D1129" t="s">
        <v>37</v>
      </c>
      <c r="E1129" t="s">
        <v>756</v>
      </c>
      <c r="F1129" t="s">
        <v>106</v>
      </c>
      <c r="G1129" t="str">
        <f>"09699320017"</f>
        <v>09699320017</v>
      </c>
      <c r="I1129" t="s">
        <v>253</v>
      </c>
      <c r="L1129" t="s">
        <v>45</v>
      </c>
      <c r="AJ1129" s="1">
        <v>41638</v>
      </c>
    </row>
    <row r="1130" spans="1:36" ht="15">
      <c r="A1130" t="str">
        <f t="shared" si="55"/>
        <v>5515151E91</v>
      </c>
      <c r="B1130" t="str">
        <f t="shared" si="52"/>
        <v>02406911202</v>
      </c>
      <c r="C1130" t="s">
        <v>13</v>
      </c>
      <c r="D1130" t="s">
        <v>37</v>
      </c>
      <c r="E1130" t="s">
        <v>756</v>
      </c>
      <c r="F1130" t="s">
        <v>106</v>
      </c>
      <c r="G1130" t="str">
        <f>"11206730159"</f>
        <v>11206730159</v>
      </c>
      <c r="I1130" t="s">
        <v>255</v>
      </c>
      <c r="L1130" t="s">
        <v>45</v>
      </c>
      <c r="AJ1130" s="1">
        <v>41638</v>
      </c>
    </row>
    <row r="1131" spans="1:36" ht="15">
      <c r="A1131" t="str">
        <f t="shared" si="55"/>
        <v>5515151E91</v>
      </c>
      <c r="B1131" t="str">
        <f t="shared" si="52"/>
        <v>02406911202</v>
      </c>
      <c r="C1131" t="s">
        <v>13</v>
      </c>
      <c r="D1131" t="s">
        <v>37</v>
      </c>
      <c r="E1131" t="s">
        <v>756</v>
      </c>
      <c r="F1131" t="s">
        <v>106</v>
      </c>
      <c r="G1131" t="str">
        <f>"07123400157"</f>
        <v>07123400157</v>
      </c>
      <c r="I1131" t="s">
        <v>645</v>
      </c>
      <c r="L1131" t="s">
        <v>45</v>
      </c>
      <c r="AJ1131" s="1">
        <v>41638</v>
      </c>
    </row>
    <row r="1132" spans="1:36" ht="15">
      <c r="A1132" t="str">
        <f t="shared" si="55"/>
        <v>5515151E91</v>
      </c>
      <c r="B1132" t="str">
        <f t="shared" si="52"/>
        <v>02406911202</v>
      </c>
      <c r="C1132" t="s">
        <v>13</v>
      </c>
      <c r="D1132" t="s">
        <v>37</v>
      </c>
      <c r="E1132" t="s">
        <v>756</v>
      </c>
      <c r="F1132" t="s">
        <v>106</v>
      </c>
      <c r="G1132" t="str">
        <f>"08641790152"</f>
        <v>08641790152</v>
      </c>
      <c r="I1132" t="s">
        <v>114</v>
      </c>
      <c r="L1132" t="s">
        <v>41</v>
      </c>
      <c r="M1132">
        <v>40680</v>
      </c>
      <c r="AG1132">
        <v>32180</v>
      </c>
      <c r="AH1132" s="1">
        <v>41671</v>
      </c>
      <c r="AI1132" s="1">
        <v>42766</v>
      </c>
      <c r="AJ1132" s="1">
        <v>41638</v>
      </c>
    </row>
    <row r="1133" spans="1:36" ht="15">
      <c r="A1133" t="str">
        <f t="shared" si="55"/>
        <v>5515151E91</v>
      </c>
      <c r="B1133" t="str">
        <f t="shared" si="52"/>
        <v>02406911202</v>
      </c>
      <c r="C1133" t="s">
        <v>13</v>
      </c>
      <c r="D1133" t="s">
        <v>37</v>
      </c>
      <c r="E1133" t="s">
        <v>756</v>
      </c>
      <c r="F1133" t="s">
        <v>106</v>
      </c>
      <c r="G1133" t="str">
        <f>"01990200170"</f>
        <v>01990200170</v>
      </c>
      <c r="I1133" t="s">
        <v>758</v>
      </c>
      <c r="L1133" t="s">
        <v>45</v>
      </c>
      <c r="AJ1133" s="1">
        <v>41638</v>
      </c>
    </row>
    <row r="1134" spans="1:36" ht="15">
      <c r="A1134" t="str">
        <f t="shared" si="55"/>
        <v>5515151E91</v>
      </c>
      <c r="B1134" t="str">
        <f t="shared" si="52"/>
        <v>02406911202</v>
      </c>
      <c r="C1134" t="s">
        <v>13</v>
      </c>
      <c r="D1134" t="s">
        <v>37</v>
      </c>
      <c r="E1134" t="s">
        <v>756</v>
      </c>
      <c r="F1134" t="s">
        <v>106</v>
      </c>
      <c r="G1134" t="str">
        <f>"04094700376"</f>
        <v>04094700376</v>
      </c>
      <c r="I1134" t="s">
        <v>256</v>
      </c>
      <c r="L1134" t="s">
        <v>45</v>
      </c>
      <c r="AJ1134" s="1">
        <v>41638</v>
      </c>
    </row>
    <row r="1135" spans="1:36" ht="15">
      <c r="A1135" t="str">
        <f t="shared" si="55"/>
        <v>5515151E91</v>
      </c>
      <c r="B1135" t="str">
        <f t="shared" si="52"/>
        <v>02406911202</v>
      </c>
      <c r="C1135" t="s">
        <v>13</v>
      </c>
      <c r="D1135" t="s">
        <v>37</v>
      </c>
      <c r="E1135" t="s">
        <v>756</v>
      </c>
      <c r="F1135" t="s">
        <v>106</v>
      </c>
      <c r="G1135" t="str">
        <f>"08082461008"</f>
        <v>08082461008</v>
      </c>
      <c r="I1135" t="s">
        <v>132</v>
      </c>
      <c r="L1135" t="s">
        <v>45</v>
      </c>
      <c r="AJ1135" s="1">
        <v>41638</v>
      </c>
    </row>
    <row r="1136" spans="1:36" ht="15">
      <c r="A1136" t="str">
        <f t="shared" si="55"/>
        <v>5515151E91</v>
      </c>
      <c r="B1136" t="str">
        <f t="shared" si="52"/>
        <v>02406911202</v>
      </c>
      <c r="C1136" t="s">
        <v>13</v>
      </c>
      <c r="D1136" t="s">
        <v>37</v>
      </c>
      <c r="E1136" t="s">
        <v>756</v>
      </c>
      <c r="F1136" t="s">
        <v>106</v>
      </c>
      <c r="G1136" t="str">
        <f>"00420240376"</f>
        <v>00420240376</v>
      </c>
      <c r="I1136" t="s">
        <v>759</v>
      </c>
      <c r="L1136" t="s">
        <v>45</v>
      </c>
      <c r="AJ1136" s="1">
        <v>41638</v>
      </c>
    </row>
    <row r="1137" spans="1:36" ht="15">
      <c r="A1137" t="str">
        <f t="shared" si="55"/>
        <v>5515151E91</v>
      </c>
      <c r="B1137" t="str">
        <f t="shared" si="52"/>
        <v>02406911202</v>
      </c>
      <c r="C1137" t="s">
        <v>13</v>
      </c>
      <c r="D1137" t="s">
        <v>37</v>
      </c>
      <c r="E1137" t="s">
        <v>756</v>
      </c>
      <c r="F1137" t="s">
        <v>106</v>
      </c>
      <c r="G1137" t="str">
        <f>"02812360101"</f>
        <v>02812360101</v>
      </c>
      <c r="I1137" t="s">
        <v>445</v>
      </c>
      <c r="L1137" t="s">
        <v>45</v>
      </c>
      <c r="AJ1137" s="1">
        <v>41638</v>
      </c>
    </row>
    <row r="1138" spans="1:36" ht="15">
      <c r="A1138" t="str">
        <f t="shared" si="55"/>
        <v>5515151E91</v>
      </c>
      <c r="B1138" t="str">
        <f t="shared" si="52"/>
        <v>02406911202</v>
      </c>
      <c r="C1138" t="s">
        <v>13</v>
      </c>
      <c r="D1138" t="s">
        <v>37</v>
      </c>
      <c r="E1138" t="s">
        <v>756</v>
      </c>
      <c r="F1138" t="s">
        <v>106</v>
      </c>
      <c r="G1138" t="str">
        <f>"11575580151"</f>
        <v>11575580151</v>
      </c>
      <c r="I1138" t="s">
        <v>570</v>
      </c>
      <c r="L1138" t="s">
        <v>45</v>
      </c>
      <c r="AJ1138" s="1">
        <v>41638</v>
      </c>
    </row>
    <row r="1139" spans="1:36" ht="15">
      <c r="A1139" t="str">
        <f t="shared" si="55"/>
        <v>5515151E91</v>
      </c>
      <c r="B1139" t="str">
        <f t="shared" si="52"/>
        <v>02406911202</v>
      </c>
      <c r="C1139" t="s">
        <v>13</v>
      </c>
      <c r="D1139" t="s">
        <v>37</v>
      </c>
      <c r="E1139" t="s">
        <v>756</v>
      </c>
      <c r="F1139" t="s">
        <v>106</v>
      </c>
      <c r="G1139" t="str">
        <f>"01681100150"</f>
        <v>01681100150</v>
      </c>
      <c r="I1139" t="s">
        <v>155</v>
      </c>
      <c r="L1139" t="s">
        <v>45</v>
      </c>
      <c r="AJ1139" s="1">
        <v>41638</v>
      </c>
    </row>
    <row r="1140" spans="1:36" ht="15">
      <c r="A1140" t="str">
        <f t="shared" si="55"/>
        <v>5515151E91</v>
      </c>
      <c r="B1140" t="str">
        <f t="shared" si="52"/>
        <v>02406911202</v>
      </c>
      <c r="C1140" t="s">
        <v>13</v>
      </c>
      <c r="D1140" t="s">
        <v>37</v>
      </c>
      <c r="E1140" t="s">
        <v>756</v>
      </c>
      <c r="F1140" t="s">
        <v>106</v>
      </c>
      <c r="G1140" t="str">
        <f>"07279701002"</f>
        <v>07279701002</v>
      </c>
      <c r="I1140" t="s">
        <v>760</v>
      </c>
      <c r="L1140" t="s">
        <v>45</v>
      </c>
      <c r="AJ1140" s="1">
        <v>41638</v>
      </c>
    </row>
    <row r="1141" spans="1:36" ht="15">
      <c r="A1141" t="str">
        <f t="shared" si="55"/>
        <v>5515151E91</v>
      </c>
      <c r="B1141" t="str">
        <f t="shared" si="52"/>
        <v>02406911202</v>
      </c>
      <c r="C1141" t="s">
        <v>13</v>
      </c>
      <c r="D1141" t="s">
        <v>37</v>
      </c>
      <c r="E1141" t="s">
        <v>756</v>
      </c>
      <c r="F1141" t="s">
        <v>106</v>
      </c>
      <c r="G1141" t="str">
        <f>"03748120155"</f>
        <v>03748120155</v>
      </c>
      <c r="I1141" t="s">
        <v>136</v>
      </c>
      <c r="L1141" t="s">
        <v>45</v>
      </c>
      <c r="AJ1141" s="1">
        <v>41638</v>
      </c>
    </row>
    <row r="1142" spans="1:36" ht="15">
      <c r="A1142" t="str">
        <f aca="true" t="shared" si="56" ref="A1142:A1158">"5516714867"</f>
        <v>5516714867</v>
      </c>
      <c r="B1142" t="str">
        <f t="shared" si="52"/>
        <v>02406911202</v>
      </c>
      <c r="C1142" t="s">
        <v>13</v>
      </c>
      <c r="D1142" t="s">
        <v>37</v>
      </c>
      <c r="E1142" t="s">
        <v>756</v>
      </c>
      <c r="F1142" t="s">
        <v>106</v>
      </c>
      <c r="G1142" t="str">
        <f>"07297190154"</f>
        <v>07297190154</v>
      </c>
      <c r="I1142" t="s">
        <v>447</v>
      </c>
      <c r="L1142" t="s">
        <v>45</v>
      </c>
      <c r="AJ1142" s="1">
        <v>41638</v>
      </c>
    </row>
    <row r="1143" spans="1:36" ht="15">
      <c r="A1143" t="str">
        <f t="shared" si="56"/>
        <v>5516714867</v>
      </c>
      <c r="B1143" t="str">
        <f t="shared" si="52"/>
        <v>02406911202</v>
      </c>
      <c r="C1143" t="s">
        <v>13</v>
      </c>
      <c r="D1143" t="s">
        <v>37</v>
      </c>
      <c r="E1143" t="s">
        <v>756</v>
      </c>
      <c r="F1143" t="s">
        <v>106</v>
      </c>
      <c r="G1143" t="str">
        <f>"00868480153"</f>
        <v>00868480153</v>
      </c>
      <c r="I1143" t="s">
        <v>254</v>
      </c>
      <c r="L1143" t="s">
        <v>45</v>
      </c>
      <c r="AJ1143" s="1">
        <v>41638</v>
      </c>
    </row>
    <row r="1144" spans="1:36" ht="15">
      <c r="A1144" t="str">
        <f t="shared" si="56"/>
        <v>5516714867</v>
      </c>
      <c r="B1144" t="str">
        <f t="shared" si="52"/>
        <v>02406911202</v>
      </c>
      <c r="C1144" t="s">
        <v>13</v>
      </c>
      <c r="D1144" t="s">
        <v>37</v>
      </c>
      <c r="E1144" t="s">
        <v>756</v>
      </c>
      <c r="F1144" t="s">
        <v>106</v>
      </c>
      <c r="G1144" t="str">
        <f>"02307060281"</f>
        <v>02307060281</v>
      </c>
      <c r="I1144" t="s">
        <v>757</v>
      </c>
      <c r="L1144" t="s">
        <v>45</v>
      </c>
      <c r="AJ1144" s="1">
        <v>41638</v>
      </c>
    </row>
    <row r="1145" spans="1:36" ht="15">
      <c r="A1145" t="str">
        <f t="shared" si="56"/>
        <v>5516714867</v>
      </c>
      <c r="B1145" t="str">
        <f t="shared" si="52"/>
        <v>02406911202</v>
      </c>
      <c r="C1145" t="s">
        <v>13</v>
      </c>
      <c r="D1145" t="s">
        <v>37</v>
      </c>
      <c r="E1145" t="s">
        <v>756</v>
      </c>
      <c r="F1145" t="s">
        <v>106</v>
      </c>
      <c r="G1145" t="str">
        <f>"07931650589"</f>
        <v>07931650589</v>
      </c>
      <c r="I1145" t="s">
        <v>129</v>
      </c>
      <c r="L1145" t="s">
        <v>45</v>
      </c>
      <c r="AJ1145" s="1">
        <v>41638</v>
      </c>
    </row>
    <row r="1146" spans="1:36" ht="15">
      <c r="A1146" t="str">
        <f t="shared" si="56"/>
        <v>5516714867</v>
      </c>
      <c r="B1146" t="str">
        <f t="shared" si="52"/>
        <v>02406911202</v>
      </c>
      <c r="C1146" t="s">
        <v>13</v>
      </c>
      <c r="D1146" t="s">
        <v>37</v>
      </c>
      <c r="E1146" t="s">
        <v>756</v>
      </c>
      <c r="F1146" t="s">
        <v>106</v>
      </c>
      <c r="G1146" t="str">
        <f>"09699320017"</f>
        <v>09699320017</v>
      </c>
      <c r="I1146" t="s">
        <v>253</v>
      </c>
      <c r="L1146" t="s">
        <v>45</v>
      </c>
      <c r="AJ1146" s="1">
        <v>41638</v>
      </c>
    </row>
    <row r="1147" spans="1:36" ht="15">
      <c r="A1147" t="str">
        <f t="shared" si="56"/>
        <v>5516714867</v>
      </c>
      <c r="B1147" t="str">
        <f t="shared" si="52"/>
        <v>02406911202</v>
      </c>
      <c r="C1147" t="s">
        <v>13</v>
      </c>
      <c r="D1147" t="s">
        <v>37</v>
      </c>
      <c r="E1147" t="s">
        <v>756</v>
      </c>
      <c r="F1147" t="s">
        <v>106</v>
      </c>
      <c r="G1147" t="str">
        <f>"11206730159"</f>
        <v>11206730159</v>
      </c>
      <c r="I1147" t="s">
        <v>255</v>
      </c>
      <c r="L1147" t="s">
        <v>45</v>
      </c>
      <c r="AJ1147" s="1">
        <v>41638</v>
      </c>
    </row>
    <row r="1148" spans="1:36" ht="15">
      <c r="A1148" t="str">
        <f t="shared" si="56"/>
        <v>5516714867</v>
      </c>
      <c r="B1148" t="str">
        <f t="shared" si="52"/>
        <v>02406911202</v>
      </c>
      <c r="C1148" t="s">
        <v>13</v>
      </c>
      <c r="D1148" t="s">
        <v>37</v>
      </c>
      <c r="E1148" t="s">
        <v>756</v>
      </c>
      <c r="F1148" t="s">
        <v>106</v>
      </c>
      <c r="G1148" t="str">
        <f>"07123400157"</f>
        <v>07123400157</v>
      </c>
      <c r="I1148" t="s">
        <v>645</v>
      </c>
      <c r="L1148" t="s">
        <v>45</v>
      </c>
      <c r="AJ1148" s="1">
        <v>41638</v>
      </c>
    </row>
    <row r="1149" spans="1:36" ht="15">
      <c r="A1149" t="str">
        <f t="shared" si="56"/>
        <v>5516714867</v>
      </c>
      <c r="B1149" t="str">
        <f t="shared" si="52"/>
        <v>02406911202</v>
      </c>
      <c r="C1149" t="s">
        <v>13</v>
      </c>
      <c r="D1149" t="s">
        <v>37</v>
      </c>
      <c r="E1149" t="s">
        <v>756</v>
      </c>
      <c r="F1149" t="s">
        <v>106</v>
      </c>
      <c r="G1149" t="str">
        <f>"08641790152"</f>
        <v>08641790152</v>
      </c>
      <c r="I1149" t="s">
        <v>114</v>
      </c>
      <c r="L1149" t="s">
        <v>45</v>
      </c>
      <c r="AJ1149" s="1">
        <v>41638</v>
      </c>
    </row>
    <row r="1150" spans="1:36" ht="15">
      <c r="A1150" t="str">
        <f t="shared" si="56"/>
        <v>5516714867</v>
      </c>
      <c r="B1150" t="str">
        <f t="shared" si="52"/>
        <v>02406911202</v>
      </c>
      <c r="C1150" t="s">
        <v>13</v>
      </c>
      <c r="D1150" t="s">
        <v>37</v>
      </c>
      <c r="E1150" t="s">
        <v>756</v>
      </c>
      <c r="F1150" t="s">
        <v>106</v>
      </c>
      <c r="G1150" t="str">
        <f>"01990200170"</f>
        <v>01990200170</v>
      </c>
      <c r="I1150" t="s">
        <v>758</v>
      </c>
      <c r="L1150" t="s">
        <v>41</v>
      </c>
      <c r="M1150">
        <v>44640</v>
      </c>
      <c r="AG1150">
        <v>7440</v>
      </c>
      <c r="AH1150" s="1">
        <v>41671</v>
      </c>
      <c r="AI1150" s="1">
        <v>42766</v>
      </c>
      <c r="AJ1150" s="1">
        <v>41638</v>
      </c>
    </row>
    <row r="1151" spans="1:36" ht="15">
      <c r="A1151" t="str">
        <f t="shared" si="56"/>
        <v>5516714867</v>
      </c>
      <c r="B1151" t="str">
        <f t="shared" si="52"/>
        <v>02406911202</v>
      </c>
      <c r="C1151" t="s">
        <v>13</v>
      </c>
      <c r="D1151" t="s">
        <v>37</v>
      </c>
      <c r="E1151" t="s">
        <v>756</v>
      </c>
      <c r="F1151" t="s">
        <v>106</v>
      </c>
      <c r="G1151" t="str">
        <f>"04094700376"</f>
        <v>04094700376</v>
      </c>
      <c r="I1151" t="s">
        <v>256</v>
      </c>
      <c r="L1151" t="s">
        <v>45</v>
      </c>
      <c r="AJ1151" s="1">
        <v>41638</v>
      </c>
    </row>
    <row r="1152" spans="1:36" ht="15">
      <c r="A1152" t="str">
        <f t="shared" si="56"/>
        <v>5516714867</v>
      </c>
      <c r="B1152" t="str">
        <f t="shared" si="52"/>
        <v>02406911202</v>
      </c>
      <c r="C1152" t="s">
        <v>13</v>
      </c>
      <c r="D1152" t="s">
        <v>37</v>
      </c>
      <c r="E1152" t="s">
        <v>756</v>
      </c>
      <c r="F1152" t="s">
        <v>106</v>
      </c>
      <c r="G1152" t="str">
        <f>"08082461008"</f>
        <v>08082461008</v>
      </c>
      <c r="I1152" t="s">
        <v>132</v>
      </c>
      <c r="L1152" t="s">
        <v>45</v>
      </c>
      <c r="AJ1152" s="1">
        <v>41638</v>
      </c>
    </row>
    <row r="1153" spans="1:36" ht="15">
      <c r="A1153" t="str">
        <f t="shared" si="56"/>
        <v>5516714867</v>
      </c>
      <c r="B1153" t="str">
        <f t="shared" si="52"/>
        <v>02406911202</v>
      </c>
      <c r="C1153" t="s">
        <v>13</v>
      </c>
      <c r="D1153" t="s">
        <v>37</v>
      </c>
      <c r="E1153" t="s">
        <v>756</v>
      </c>
      <c r="F1153" t="s">
        <v>106</v>
      </c>
      <c r="G1153" t="str">
        <f>"00420240376"</f>
        <v>00420240376</v>
      </c>
      <c r="I1153" t="s">
        <v>759</v>
      </c>
      <c r="L1153" t="s">
        <v>45</v>
      </c>
      <c r="AJ1153" s="1">
        <v>41638</v>
      </c>
    </row>
    <row r="1154" spans="1:36" ht="15">
      <c r="A1154" t="str">
        <f t="shared" si="56"/>
        <v>5516714867</v>
      </c>
      <c r="B1154" t="str">
        <f aca="true" t="shared" si="57" ref="B1154:B1217">"02406911202"</f>
        <v>02406911202</v>
      </c>
      <c r="C1154" t="s">
        <v>13</v>
      </c>
      <c r="D1154" t="s">
        <v>37</v>
      </c>
      <c r="E1154" t="s">
        <v>756</v>
      </c>
      <c r="F1154" t="s">
        <v>106</v>
      </c>
      <c r="G1154" t="str">
        <f>"02812360101"</f>
        <v>02812360101</v>
      </c>
      <c r="I1154" t="s">
        <v>445</v>
      </c>
      <c r="L1154" t="s">
        <v>45</v>
      </c>
      <c r="AJ1154" s="1">
        <v>41638</v>
      </c>
    </row>
    <row r="1155" spans="1:36" ht="15">
      <c r="A1155" t="str">
        <f t="shared" si="56"/>
        <v>5516714867</v>
      </c>
      <c r="B1155" t="str">
        <f t="shared" si="57"/>
        <v>02406911202</v>
      </c>
      <c r="C1155" t="s">
        <v>13</v>
      </c>
      <c r="D1155" t="s">
        <v>37</v>
      </c>
      <c r="E1155" t="s">
        <v>756</v>
      </c>
      <c r="F1155" t="s">
        <v>106</v>
      </c>
      <c r="G1155" t="str">
        <f>"11575580151"</f>
        <v>11575580151</v>
      </c>
      <c r="I1155" t="s">
        <v>570</v>
      </c>
      <c r="L1155" t="s">
        <v>45</v>
      </c>
      <c r="AJ1155" s="1">
        <v>41638</v>
      </c>
    </row>
    <row r="1156" spans="1:36" ht="15">
      <c r="A1156" t="str">
        <f t="shared" si="56"/>
        <v>5516714867</v>
      </c>
      <c r="B1156" t="str">
        <f t="shared" si="57"/>
        <v>02406911202</v>
      </c>
      <c r="C1156" t="s">
        <v>13</v>
      </c>
      <c r="D1156" t="s">
        <v>37</v>
      </c>
      <c r="E1156" t="s">
        <v>756</v>
      </c>
      <c r="F1156" t="s">
        <v>106</v>
      </c>
      <c r="G1156" t="str">
        <f>"01681100150"</f>
        <v>01681100150</v>
      </c>
      <c r="I1156" t="s">
        <v>155</v>
      </c>
      <c r="L1156" t="s">
        <v>45</v>
      </c>
      <c r="AJ1156" s="1">
        <v>41638</v>
      </c>
    </row>
    <row r="1157" spans="1:36" ht="15">
      <c r="A1157" t="str">
        <f t="shared" si="56"/>
        <v>5516714867</v>
      </c>
      <c r="B1157" t="str">
        <f t="shared" si="57"/>
        <v>02406911202</v>
      </c>
      <c r="C1157" t="s">
        <v>13</v>
      </c>
      <c r="D1157" t="s">
        <v>37</v>
      </c>
      <c r="E1157" t="s">
        <v>756</v>
      </c>
      <c r="F1157" t="s">
        <v>106</v>
      </c>
      <c r="G1157" t="str">
        <f>"07279701002"</f>
        <v>07279701002</v>
      </c>
      <c r="I1157" t="s">
        <v>760</v>
      </c>
      <c r="L1157" t="s">
        <v>45</v>
      </c>
      <c r="AJ1157" s="1">
        <v>41638</v>
      </c>
    </row>
    <row r="1158" spans="1:36" ht="15">
      <c r="A1158" t="str">
        <f t="shared" si="56"/>
        <v>5516714867</v>
      </c>
      <c r="B1158" t="str">
        <f t="shared" si="57"/>
        <v>02406911202</v>
      </c>
      <c r="C1158" t="s">
        <v>13</v>
      </c>
      <c r="D1158" t="s">
        <v>37</v>
      </c>
      <c r="E1158" t="s">
        <v>756</v>
      </c>
      <c r="F1158" t="s">
        <v>106</v>
      </c>
      <c r="G1158" t="str">
        <f>"03748120155"</f>
        <v>03748120155</v>
      </c>
      <c r="I1158" t="s">
        <v>136</v>
      </c>
      <c r="L1158" t="s">
        <v>45</v>
      </c>
      <c r="AJ1158" s="1">
        <v>41638</v>
      </c>
    </row>
    <row r="1159" spans="1:36" ht="15">
      <c r="A1159" t="str">
        <f aca="true" t="shared" si="58" ref="A1159:A1175">"5516021C84"</f>
        <v>5516021C84</v>
      </c>
      <c r="B1159" t="str">
        <f t="shared" si="57"/>
        <v>02406911202</v>
      </c>
      <c r="C1159" t="s">
        <v>13</v>
      </c>
      <c r="D1159" t="s">
        <v>37</v>
      </c>
      <c r="E1159" t="s">
        <v>756</v>
      </c>
      <c r="F1159" t="s">
        <v>106</v>
      </c>
      <c r="G1159" t="str">
        <f>"07297190154"</f>
        <v>07297190154</v>
      </c>
      <c r="I1159" t="s">
        <v>447</v>
      </c>
      <c r="L1159" t="s">
        <v>45</v>
      </c>
      <c r="AJ1159" s="1">
        <v>41638</v>
      </c>
    </row>
    <row r="1160" spans="1:36" ht="15">
      <c r="A1160" t="str">
        <f t="shared" si="58"/>
        <v>5516021C84</v>
      </c>
      <c r="B1160" t="str">
        <f t="shared" si="57"/>
        <v>02406911202</v>
      </c>
      <c r="C1160" t="s">
        <v>13</v>
      </c>
      <c r="D1160" t="s">
        <v>37</v>
      </c>
      <c r="E1160" t="s">
        <v>756</v>
      </c>
      <c r="F1160" t="s">
        <v>106</v>
      </c>
      <c r="G1160" t="str">
        <f>"00868480153"</f>
        <v>00868480153</v>
      </c>
      <c r="I1160" t="s">
        <v>254</v>
      </c>
      <c r="L1160" t="s">
        <v>45</v>
      </c>
      <c r="AJ1160" s="1">
        <v>41638</v>
      </c>
    </row>
    <row r="1161" spans="1:36" ht="15">
      <c r="A1161" t="str">
        <f t="shared" si="58"/>
        <v>5516021C84</v>
      </c>
      <c r="B1161" t="str">
        <f t="shared" si="57"/>
        <v>02406911202</v>
      </c>
      <c r="C1161" t="s">
        <v>13</v>
      </c>
      <c r="D1161" t="s">
        <v>37</v>
      </c>
      <c r="E1161" t="s">
        <v>756</v>
      </c>
      <c r="F1161" t="s">
        <v>106</v>
      </c>
      <c r="G1161" t="str">
        <f>"02307060281"</f>
        <v>02307060281</v>
      </c>
      <c r="I1161" t="s">
        <v>757</v>
      </c>
      <c r="L1161" t="s">
        <v>45</v>
      </c>
      <c r="AJ1161" s="1">
        <v>41638</v>
      </c>
    </row>
    <row r="1162" spans="1:36" ht="15">
      <c r="A1162" t="str">
        <f t="shared" si="58"/>
        <v>5516021C84</v>
      </c>
      <c r="B1162" t="str">
        <f t="shared" si="57"/>
        <v>02406911202</v>
      </c>
      <c r="C1162" t="s">
        <v>13</v>
      </c>
      <c r="D1162" t="s">
        <v>37</v>
      </c>
      <c r="E1162" t="s">
        <v>756</v>
      </c>
      <c r="F1162" t="s">
        <v>106</v>
      </c>
      <c r="G1162" t="str">
        <f>"07931650589"</f>
        <v>07931650589</v>
      </c>
      <c r="I1162" t="s">
        <v>129</v>
      </c>
      <c r="L1162" t="s">
        <v>45</v>
      </c>
      <c r="AJ1162" s="1">
        <v>41638</v>
      </c>
    </row>
    <row r="1163" spans="1:36" ht="15">
      <c r="A1163" t="str">
        <f t="shared" si="58"/>
        <v>5516021C84</v>
      </c>
      <c r="B1163" t="str">
        <f t="shared" si="57"/>
        <v>02406911202</v>
      </c>
      <c r="C1163" t="s">
        <v>13</v>
      </c>
      <c r="D1163" t="s">
        <v>37</v>
      </c>
      <c r="E1163" t="s">
        <v>756</v>
      </c>
      <c r="F1163" t="s">
        <v>106</v>
      </c>
      <c r="G1163" t="str">
        <f>"09699320017"</f>
        <v>09699320017</v>
      </c>
      <c r="I1163" t="s">
        <v>253</v>
      </c>
      <c r="L1163" t="s">
        <v>45</v>
      </c>
      <c r="AJ1163" s="1">
        <v>41638</v>
      </c>
    </row>
    <row r="1164" spans="1:36" ht="15">
      <c r="A1164" t="str">
        <f t="shared" si="58"/>
        <v>5516021C84</v>
      </c>
      <c r="B1164" t="str">
        <f t="shared" si="57"/>
        <v>02406911202</v>
      </c>
      <c r="C1164" t="s">
        <v>13</v>
      </c>
      <c r="D1164" t="s">
        <v>37</v>
      </c>
      <c r="E1164" t="s">
        <v>756</v>
      </c>
      <c r="F1164" t="s">
        <v>106</v>
      </c>
      <c r="G1164" t="str">
        <f>"11206730159"</f>
        <v>11206730159</v>
      </c>
      <c r="I1164" t="s">
        <v>255</v>
      </c>
      <c r="L1164" t="s">
        <v>45</v>
      </c>
      <c r="AJ1164" s="1">
        <v>41638</v>
      </c>
    </row>
    <row r="1165" spans="1:36" ht="15">
      <c r="A1165" t="str">
        <f t="shared" si="58"/>
        <v>5516021C84</v>
      </c>
      <c r="B1165" t="str">
        <f t="shared" si="57"/>
        <v>02406911202</v>
      </c>
      <c r="C1165" t="s">
        <v>13</v>
      </c>
      <c r="D1165" t="s">
        <v>37</v>
      </c>
      <c r="E1165" t="s">
        <v>756</v>
      </c>
      <c r="F1165" t="s">
        <v>106</v>
      </c>
      <c r="G1165" t="str">
        <f>"07123400157"</f>
        <v>07123400157</v>
      </c>
      <c r="I1165" t="s">
        <v>645</v>
      </c>
      <c r="L1165" t="s">
        <v>45</v>
      </c>
      <c r="AJ1165" s="1">
        <v>41638</v>
      </c>
    </row>
    <row r="1166" spans="1:36" ht="15">
      <c r="A1166" t="str">
        <f t="shared" si="58"/>
        <v>5516021C84</v>
      </c>
      <c r="B1166" t="str">
        <f t="shared" si="57"/>
        <v>02406911202</v>
      </c>
      <c r="C1166" t="s">
        <v>13</v>
      </c>
      <c r="D1166" t="s">
        <v>37</v>
      </c>
      <c r="E1166" t="s">
        <v>756</v>
      </c>
      <c r="F1166" t="s">
        <v>106</v>
      </c>
      <c r="G1166" t="str">
        <f>"08641790152"</f>
        <v>08641790152</v>
      </c>
      <c r="I1166" t="s">
        <v>114</v>
      </c>
      <c r="L1166" t="s">
        <v>45</v>
      </c>
      <c r="AJ1166" s="1">
        <v>41638</v>
      </c>
    </row>
    <row r="1167" spans="1:36" ht="15">
      <c r="A1167" t="str">
        <f t="shared" si="58"/>
        <v>5516021C84</v>
      </c>
      <c r="B1167" t="str">
        <f t="shared" si="57"/>
        <v>02406911202</v>
      </c>
      <c r="C1167" t="s">
        <v>13</v>
      </c>
      <c r="D1167" t="s">
        <v>37</v>
      </c>
      <c r="E1167" t="s">
        <v>756</v>
      </c>
      <c r="F1167" t="s">
        <v>106</v>
      </c>
      <c r="G1167" t="str">
        <f>"01990200170"</f>
        <v>01990200170</v>
      </c>
      <c r="I1167" t="s">
        <v>758</v>
      </c>
      <c r="L1167" t="s">
        <v>45</v>
      </c>
      <c r="AJ1167" s="1">
        <v>41638</v>
      </c>
    </row>
    <row r="1168" spans="1:36" ht="15">
      <c r="A1168" t="str">
        <f t="shared" si="58"/>
        <v>5516021C84</v>
      </c>
      <c r="B1168" t="str">
        <f t="shared" si="57"/>
        <v>02406911202</v>
      </c>
      <c r="C1168" t="s">
        <v>13</v>
      </c>
      <c r="D1168" t="s">
        <v>37</v>
      </c>
      <c r="E1168" t="s">
        <v>756</v>
      </c>
      <c r="F1168" t="s">
        <v>106</v>
      </c>
      <c r="G1168" t="str">
        <f>"04094700376"</f>
        <v>04094700376</v>
      </c>
      <c r="I1168" t="s">
        <v>256</v>
      </c>
      <c r="L1168" t="s">
        <v>41</v>
      </c>
      <c r="M1168">
        <v>21420</v>
      </c>
      <c r="AG1168">
        <v>53265</v>
      </c>
      <c r="AH1168" s="1">
        <v>41671</v>
      </c>
      <c r="AI1168" s="1">
        <v>42766</v>
      </c>
      <c r="AJ1168" s="1">
        <v>41638</v>
      </c>
    </row>
    <row r="1169" spans="1:36" ht="15">
      <c r="A1169" t="str">
        <f t="shared" si="58"/>
        <v>5516021C84</v>
      </c>
      <c r="B1169" t="str">
        <f t="shared" si="57"/>
        <v>02406911202</v>
      </c>
      <c r="C1169" t="s">
        <v>13</v>
      </c>
      <c r="D1169" t="s">
        <v>37</v>
      </c>
      <c r="E1169" t="s">
        <v>756</v>
      </c>
      <c r="F1169" t="s">
        <v>106</v>
      </c>
      <c r="G1169" t="str">
        <f>"08082461008"</f>
        <v>08082461008</v>
      </c>
      <c r="I1169" t="s">
        <v>132</v>
      </c>
      <c r="L1169" t="s">
        <v>45</v>
      </c>
      <c r="AJ1169" s="1">
        <v>41638</v>
      </c>
    </row>
    <row r="1170" spans="1:36" ht="15">
      <c r="A1170" t="str">
        <f t="shared" si="58"/>
        <v>5516021C84</v>
      </c>
      <c r="B1170" t="str">
        <f t="shared" si="57"/>
        <v>02406911202</v>
      </c>
      <c r="C1170" t="s">
        <v>13</v>
      </c>
      <c r="D1170" t="s">
        <v>37</v>
      </c>
      <c r="E1170" t="s">
        <v>756</v>
      </c>
      <c r="F1170" t="s">
        <v>106</v>
      </c>
      <c r="G1170" t="str">
        <f>"00420240376"</f>
        <v>00420240376</v>
      </c>
      <c r="I1170" t="s">
        <v>759</v>
      </c>
      <c r="L1170" t="s">
        <v>45</v>
      </c>
      <c r="AJ1170" s="1">
        <v>41638</v>
      </c>
    </row>
    <row r="1171" spans="1:36" ht="15">
      <c r="A1171" t="str">
        <f t="shared" si="58"/>
        <v>5516021C84</v>
      </c>
      <c r="B1171" t="str">
        <f t="shared" si="57"/>
        <v>02406911202</v>
      </c>
      <c r="C1171" t="s">
        <v>13</v>
      </c>
      <c r="D1171" t="s">
        <v>37</v>
      </c>
      <c r="E1171" t="s">
        <v>756</v>
      </c>
      <c r="F1171" t="s">
        <v>106</v>
      </c>
      <c r="G1171" t="str">
        <f>"02812360101"</f>
        <v>02812360101</v>
      </c>
      <c r="I1171" t="s">
        <v>445</v>
      </c>
      <c r="L1171" t="s">
        <v>45</v>
      </c>
      <c r="AJ1171" s="1">
        <v>41638</v>
      </c>
    </row>
    <row r="1172" spans="1:36" ht="15">
      <c r="A1172" t="str">
        <f t="shared" si="58"/>
        <v>5516021C84</v>
      </c>
      <c r="B1172" t="str">
        <f t="shared" si="57"/>
        <v>02406911202</v>
      </c>
      <c r="C1172" t="s">
        <v>13</v>
      </c>
      <c r="D1172" t="s">
        <v>37</v>
      </c>
      <c r="E1172" t="s">
        <v>756</v>
      </c>
      <c r="F1172" t="s">
        <v>106</v>
      </c>
      <c r="G1172" t="str">
        <f>"11575580151"</f>
        <v>11575580151</v>
      </c>
      <c r="I1172" t="s">
        <v>570</v>
      </c>
      <c r="L1172" t="s">
        <v>45</v>
      </c>
      <c r="AJ1172" s="1">
        <v>41638</v>
      </c>
    </row>
    <row r="1173" spans="1:36" ht="15">
      <c r="A1173" t="str">
        <f t="shared" si="58"/>
        <v>5516021C84</v>
      </c>
      <c r="B1173" t="str">
        <f t="shared" si="57"/>
        <v>02406911202</v>
      </c>
      <c r="C1173" t="s">
        <v>13</v>
      </c>
      <c r="D1173" t="s">
        <v>37</v>
      </c>
      <c r="E1173" t="s">
        <v>756</v>
      </c>
      <c r="F1173" t="s">
        <v>106</v>
      </c>
      <c r="G1173" t="str">
        <f>"01681100150"</f>
        <v>01681100150</v>
      </c>
      <c r="I1173" t="s">
        <v>155</v>
      </c>
      <c r="L1173" t="s">
        <v>45</v>
      </c>
      <c r="AJ1173" s="1">
        <v>41638</v>
      </c>
    </row>
    <row r="1174" spans="1:36" ht="15">
      <c r="A1174" t="str">
        <f t="shared" si="58"/>
        <v>5516021C84</v>
      </c>
      <c r="B1174" t="str">
        <f t="shared" si="57"/>
        <v>02406911202</v>
      </c>
      <c r="C1174" t="s">
        <v>13</v>
      </c>
      <c r="D1174" t="s">
        <v>37</v>
      </c>
      <c r="E1174" t="s">
        <v>756</v>
      </c>
      <c r="F1174" t="s">
        <v>106</v>
      </c>
      <c r="G1174" t="str">
        <f>"07279701002"</f>
        <v>07279701002</v>
      </c>
      <c r="I1174" t="s">
        <v>760</v>
      </c>
      <c r="L1174" t="s">
        <v>45</v>
      </c>
      <c r="AJ1174" s="1">
        <v>41638</v>
      </c>
    </row>
    <row r="1175" spans="1:36" ht="15">
      <c r="A1175" t="str">
        <f t="shared" si="58"/>
        <v>5516021C84</v>
      </c>
      <c r="B1175" t="str">
        <f t="shared" si="57"/>
        <v>02406911202</v>
      </c>
      <c r="C1175" t="s">
        <v>13</v>
      </c>
      <c r="D1175" t="s">
        <v>37</v>
      </c>
      <c r="E1175" t="s">
        <v>756</v>
      </c>
      <c r="F1175" t="s">
        <v>106</v>
      </c>
      <c r="G1175" t="str">
        <f>"03748120155"</f>
        <v>03748120155</v>
      </c>
      <c r="I1175" t="s">
        <v>136</v>
      </c>
      <c r="L1175" t="s">
        <v>45</v>
      </c>
      <c r="AJ1175" s="1">
        <v>41638</v>
      </c>
    </row>
    <row r="1176" spans="1:36" ht="15">
      <c r="A1176" t="str">
        <f aca="true" t="shared" si="59" ref="A1176:A1192">"55155908D9"</f>
        <v>55155908D9</v>
      </c>
      <c r="B1176" t="str">
        <f t="shared" si="57"/>
        <v>02406911202</v>
      </c>
      <c r="C1176" t="s">
        <v>13</v>
      </c>
      <c r="D1176" t="s">
        <v>37</v>
      </c>
      <c r="E1176" t="s">
        <v>756</v>
      </c>
      <c r="F1176" t="s">
        <v>106</v>
      </c>
      <c r="G1176" t="str">
        <f>"07297190154"</f>
        <v>07297190154</v>
      </c>
      <c r="I1176" t="s">
        <v>447</v>
      </c>
      <c r="L1176" t="s">
        <v>45</v>
      </c>
      <c r="AJ1176" s="1">
        <v>41638</v>
      </c>
    </row>
    <row r="1177" spans="1:36" ht="15">
      <c r="A1177" t="str">
        <f t="shared" si="59"/>
        <v>55155908D9</v>
      </c>
      <c r="B1177" t="str">
        <f t="shared" si="57"/>
        <v>02406911202</v>
      </c>
      <c r="C1177" t="s">
        <v>13</v>
      </c>
      <c r="D1177" t="s">
        <v>37</v>
      </c>
      <c r="E1177" t="s">
        <v>756</v>
      </c>
      <c r="F1177" t="s">
        <v>106</v>
      </c>
      <c r="G1177" t="str">
        <f>"00868480153"</f>
        <v>00868480153</v>
      </c>
      <c r="I1177" t="s">
        <v>254</v>
      </c>
      <c r="L1177" t="s">
        <v>45</v>
      </c>
      <c r="AJ1177" s="1">
        <v>41638</v>
      </c>
    </row>
    <row r="1178" spans="1:36" ht="15">
      <c r="A1178" t="str">
        <f t="shared" si="59"/>
        <v>55155908D9</v>
      </c>
      <c r="B1178" t="str">
        <f t="shared" si="57"/>
        <v>02406911202</v>
      </c>
      <c r="C1178" t="s">
        <v>13</v>
      </c>
      <c r="D1178" t="s">
        <v>37</v>
      </c>
      <c r="E1178" t="s">
        <v>756</v>
      </c>
      <c r="F1178" t="s">
        <v>106</v>
      </c>
      <c r="G1178" t="str">
        <f>"02307060281"</f>
        <v>02307060281</v>
      </c>
      <c r="I1178" t="s">
        <v>757</v>
      </c>
      <c r="L1178" t="s">
        <v>45</v>
      </c>
      <c r="AJ1178" s="1">
        <v>41638</v>
      </c>
    </row>
    <row r="1179" spans="1:36" ht="15">
      <c r="A1179" t="str">
        <f t="shared" si="59"/>
        <v>55155908D9</v>
      </c>
      <c r="B1179" t="str">
        <f t="shared" si="57"/>
        <v>02406911202</v>
      </c>
      <c r="C1179" t="s">
        <v>13</v>
      </c>
      <c r="D1179" t="s">
        <v>37</v>
      </c>
      <c r="E1179" t="s">
        <v>756</v>
      </c>
      <c r="F1179" t="s">
        <v>106</v>
      </c>
      <c r="G1179" t="str">
        <f>"07931650589"</f>
        <v>07931650589</v>
      </c>
      <c r="I1179" t="s">
        <v>129</v>
      </c>
      <c r="L1179" t="s">
        <v>45</v>
      </c>
      <c r="AJ1179" s="1">
        <v>41638</v>
      </c>
    </row>
    <row r="1180" spans="1:36" ht="15">
      <c r="A1180" t="str">
        <f t="shared" si="59"/>
        <v>55155908D9</v>
      </c>
      <c r="B1180" t="str">
        <f t="shared" si="57"/>
        <v>02406911202</v>
      </c>
      <c r="C1180" t="s">
        <v>13</v>
      </c>
      <c r="D1180" t="s">
        <v>37</v>
      </c>
      <c r="E1180" t="s">
        <v>756</v>
      </c>
      <c r="F1180" t="s">
        <v>106</v>
      </c>
      <c r="G1180" t="str">
        <f>"09699320017"</f>
        <v>09699320017</v>
      </c>
      <c r="I1180" t="s">
        <v>253</v>
      </c>
      <c r="L1180" t="s">
        <v>45</v>
      </c>
      <c r="AJ1180" s="1">
        <v>41638</v>
      </c>
    </row>
    <row r="1181" spans="1:36" ht="15">
      <c r="A1181" t="str">
        <f t="shared" si="59"/>
        <v>55155908D9</v>
      </c>
      <c r="B1181" t="str">
        <f t="shared" si="57"/>
        <v>02406911202</v>
      </c>
      <c r="C1181" t="s">
        <v>13</v>
      </c>
      <c r="D1181" t="s">
        <v>37</v>
      </c>
      <c r="E1181" t="s">
        <v>756</v>
      </c>
      <c r="F1181" t="s">
        <v>106</v>
      </c>
      <c r="G1181" t="str">
        <f>"11206730159"</f>
        <v>11206730159</v>
      </c>
      <c r="I1181" t="s">
        <v>255</v>
      </c>
      <c r="L1181" t="s">
        <v>45</v>
      </c>
      <c r="AJ1181" s="1">
        <v>41638</v>
      </c>
    </row>
    <row r="1182" spans="1:36" ht="15">
      <c r="A1182" t="str">
        <f t="shared" si="59"/>
        <v>55155908D9</v>
      </c>
      <c r="B1182" t="str">
        <f t="shared" si="57"/>
        <v>02406911202</v>
      </c>
      <c r="C1182" t="s">
        <v>13</v>
      </c>
      <c r="D1182" t="s">
        <v>37</v>
      </c>
      <c r="E1182" t="s">
        <v>756</v>
      </c>
      <c r="F1182" t="s">
        <v>106</v>
      </c>
      <c r="G1182" t="str">
        <f>"07123400157"</f>
        <v>07123400157</v>
      </c>
      <c r="I1182" t="s">
        <v>645</v>
      </c>
      <c r="L1182" t="s">
        <v>45</v>
      </c>
      <c r="AJ1182" s="1">
        <v>41638</v>
      </c>
    </row>
    <row r="1183" spans="1:36" ht="15">
      <c r="A1183" t="str">
        <f t="shared" si="59"/>
        <v>55155908D9</v>
      </c>
      <c r="B1183" t="str">
        <f t="shared" si="57"/>
        <v>02406911202</v>
      </c>
      <c r="C1183" t="s">
        <v>13</v>
      </c>
      <c r="D1183" t="s">
        <v>37</v>
      </c>
      <c r="E1183" t="s">
        <v>756</v>
      </c>
      <c r="F1183" t="s">
        <v>106</v>
      </c>
      <c r="G1183" t="str">
        <f>"08641790152"</f>
        <v>08641790152</v>
      </c>
      <c r="I1183" t="s">
        <v>114</v>
      </c>
      <c r="L1183" t="s">
        <v>45</v>
      </c>
      <c r="AJ1183" s="1">
        <v>41638</v>
      </c>
    </row>
    <row r="1184" spans="1:36" ht="15">
      <c r="A1184" t="str">
        <f t="shared" si="59"/>
        <v>55155908D9</v>
      </c>
      <c r="B1184" t="str">
        <f t="shared" si="57"/>
        <v>02406911202</v>
      </c>
      <c r="C1184" t="s">
        <v>13</v>
      </c>
      <c r="D1184" t="s">
        <v>37</v>
      </c>
      <c r="E1184" t="s">
        <v>756</v>
      </c>
      <c r="F1184" t="s">
        <v>106</v>
      </c>
      <c r="G1184" t="str">
        <f>"01990200170"</f>
        <v>01990200170</v>
      </c>
      <c r="I1184" t="s">
        <v>758</v>
      </c>
      <c r="L1184" t="s">
        <v>45</v>
      </c>
      <c r="AJ1184" s="1">
        <v>41638</v>
      </c>
    </row>
    <row r="1185" spans="1:36" ht="15">
      <c r="A1185" t="str">
        <f t="shared" si="59"/>
        <v>55155908D9</v>
      </c>
      <c r="B1185" t="str">
        <f t="shared" si="57"/>
        <v>02406911202</v>
      </c>
      <c r="C1185" t="s">
        <v>13</v>
      </c>
      <c r="D1185" t="s">
        <v>37</v>
      </c>
      <c r="E1185" t="s">
        <v>756</v>
      </c>
      <c r="F1185" t="s">
        <v>106</v>
      </c>
      <c r="G1185" t="str">
        <f>"04094700376"</f>
        <v>04094700376</v>
      </c>
      <c r="I1185" t="s">
        <v>256</v>
      </c>
      <c r="L1185" t="s">
        <v>45</v>
      </c>
      <c r="AJ1185" s="1">
        <v>41638</v>
      </c>
    </row>
    <row r="1186" spans="1:36" ht="15">
      <c r="A1186" t="str">
        <f t="shared" si="59"/>
        <v>55155908D9</v>
      </c>
      <c r="B1186" t="str">
        <f t="shared" si="57"/>
        <v>02406911202</v>
      </c>
      <c r="C1186" t="s">
        <v>13</v>
      </c>
      <c r="D1186" t="s">
        <v>37</v>
      </c>
      <c r="E1186" t="s">
        <v>756</v>
      </c>
      <c r="F1186" t="s">
        <v>106</v>
      </c>
      <c r="G1186" t="str">
        <f>"08082461008"</f>
        <v>08082461008</v>
      </c>
      <c r="I1186" t="s">
        <v>132</v>
      </c>
      <c r="L1186" t="s">
        <v>41</v>
      </c>
      <c r="M1186">
        <v>4188</v>
      </c>
      <c r="AG1186">
        <v>18697</v>
      </c>
      <c r="AH1186" s="1">
        <v>41671</v>
      </c>
      <c r="AI1186" s="1">
        <v>42766</v>
      </c>
      <c r="AJ1186" s="1">
        <v>41638</v>
      </c>
    </row>
    <row r="1187" spans="1:36" ht="15">
      <c r="A1187" t="str">
        <f t="shared" si="59"/>
        <v>55155908D9</v>
      </c>
      <c r="B1187" t="str">
        <f t="shared" si="57"/>
        <v>02406911202</v>
      </c>
      <c r="C1187" t="s">
        <v>13</v>
      </c>
      <c r="D1187" t="s">
        <v>37</v>
      </c>
      <c r="E1187" t="s">
        <v>756</v>
      </c>
      <c r="F1187" t="s">
        <v>106</v>
      </c>
      <c r="G1187" t="str">
        <f>"00420240376"</f>
        <v>00420240376</v>
      </c>
      <c r="I1187" t="s">
        <v>759</v>
      </c>
      <c r="L1187" t="s">
        <v>45</v>
      </c>
      <c r="AJ1187" s="1">
        <v>41638</v>
      </c>
    </row>
    <row r="1188" spans="1:36" ht="15">
      <c r="A1188" t="str">
        <f t="shared" si="59"/>
        <v>55155908D9</v>
      </c>
      <c r="B1188" t="str">
        <f t="shared" si="57"/>
        <v>02406911202</v>
      </c>
      <c r="C1188" t="s">
        <v>13</v>
      </c>
      <c r="D1188" t="s">
        <v>37</v>
      </c>
      <c r="E1188" t="s">
        <v>756</v>
      </c>
      <c r="F1188" t="s">
        <v>106</v>
      </c>
      <c r="G1188" t="str">
        <f>"02812360101"</f>
        <v>02812360101</v>
      </c>
      <c r="I1188" t="s">
        <v>445</v>
      </c>
      <c r="L1188" t="s">
        <v>45</v>
      </c>
      <c r="AJ1188" s="1">
        <v>41638</v>
      </c>
    </row>
    <row r="1189" spans="1:36" ht="15">
      <c r="A1189" t="str">
        <f t="shared" si="59"/>
        <v>55155908D9</v>
      </c>
      <c r="B1189" t="str">
        <f t="shared" si="57"/>
        <v>02406911202</v>
      </c>
      <c r="C1189" t="s">
        <v>13</v>
      </c>
      <c r="D1189" t="s">
        <v>37</v>
      </c>
      <c r="E1189" t="s">
        <v>756</v>
      </c>
      <c r="F1189" t="s">
        <v>106</v>
      </c>
      <c r="G1189" t="str">
        <f>"11575580151"</f>
        <v>11575580151</v>
      </c>
      <c r="I1189" t="s">
        <v>570</v>
      </c>
      <c r="L1189" t="s">
        <v>45</v>
      </c>
      <c r="AJ1189" s="1">
        <v>41638</v>
      </c>
    </row>
    <row r="1190" spans="1:36" ht="15">
      <c r="A1190" t="str">
        <f t="shared" si="59"/>
        <v>55155908D9</v>
      </c>
      <c r="B1190" t="str">
        <f t="shared" si="57"/>
        <v>02406911202</v>
      </c>
      <c r="C1190" t="s">
        <v>13</v>
      </c>
      <c r="D1190" t="s">
        <v>37</v>
      </c>
      <c r="E1190" t="s">
        <v>756</v>
      </c>
      <c r="F1190" t="s">
        <v>106</v>
      </c>
      <c r="G1190" t="str">
        <f>"01681100150"</f>
        <v>01681100150</v>
      </c>
      <c r="I1190" t="s">
        <v>155</v>
      </c>
      <c r="L1190" t="s">
        <v>45</v>
      </c>
      <c r="AJ1190" s="1">
        <v>41638</v>
      </c>
    </row>
    <row r="1191" spans="1:36" ht="15">
      <c r="A1191" t="str">
        <f t="shared" si="59"/>
        <v>55155908D9</v>
      </c>
      <c r="B1191" t="str">
        <f t="shared" si="57"/>
        <v>02406911202</v>
      </c>
      <c r="C1191" t="s">
        <v>13</v>
      </c>
      <c r="D1191" t="s">
        <v>37</v>
      </c>
      <c r="E1191" t="s">
        <v>756</v>
      </c>
      <c r="F1191" t="s">
        <v>106</v>
      </c>
      <c r="G1191" t="str">
        <f>"07279701002"</f>
        <v>07279701002</v>
      </c>
      <c r="I1191" t="s">
        <v>760</v>
      </c>
      <c r="L1191" t="s">
        <v>45</v>
      </c>
      <c r="AJ1191" s="1">
        <v>41638</v>
      </c>
    </row>
    <row r="1192" spans="1:36" ht="15">
      <c r="A1192" t="str">
        <f t="shared" si="59"/>
        <v>55155908D9</v>
      </c>
      <c r="B1192" t="str">
        <f t="shared" si="57"/>
        <v>02406911202</v>
      </c>
      <c r="C1192" t="s">
        <v>13</v>
      </c>
      <c r="D1192" t="s">
        <v>37</v>
      </c>
      <c r="E1192" t="s">
        <v>756</v>
      </c>
      <c r="F1192" t="s">
        <v>106</v>
      </c>
      <c r="G1192" t="str">
        <f>"03748120155"</f>
        <v>03748120155</v>
      </c>
      <c r="I1192" t="s">
        <v>136</v>
      </c>
      <c r="L1192" t="s">
        <v>45</v>
      </c>
      <c r="AJ1192" s="1">
        <v>41638</v>
      </c>
    </row>
    <row r="1193" spans="1:36" ht="15">
      <c r="A1193" t="str">
        <f aca="true" t="shared" si="60" ref="A1193:A1209">"5516025FD0"</f>
        <v>5516025FD0</v>
      </c>
      <c r="B1193" t="str">
        <f t="shared" si="57"/>
        <v>02406911202</v>
      </c>
      <c r="C1193" t="s">
        <v>13</v>
      </c>
      <c r="D1193" t="s">
        <v>37</v>
      </c>
      <c r="E1193" t="s">
        <v>756</v>
      </c>
      <c r="F1193" t="s">
        <v>106</v>
      </c>
      <c r="G1193" t="str">
        <f>"07297190154"</f>
        <v>07297190154</v>
      </c>
      <c r="I1193" t="s">
        <v>447</v>
      </c>
      <c r="L1193" t="s">
        <v>45</v>
      </c>
      <c r="AJ1193" s="1">
        <v>41638</v>
      </c>
    </row>
    <row r="1194" spans="1:36" ht="15">
      <c r="A1194" t="str">
        <f t="shared" si="60"/>
        <v>5516025FD0</v>
      </c>
      <c r="B1194" t="str">
        <f t="shared" si="57"/>
        <v>02406911202</v>
      </c>
      <c r="C1194" t="s">
        <v>13</v>
      </c>
      <c r="D1194" t="s">
        <v>37</v>
      </c>
      <c r="E1194" t="s">
        <v>756</v>
      </c>
      <c r="F1194" t="s">
        <v>106</v>
      </c>
      <c r="G1194" t="str">
        <f>"00868480153"</f>
        <v>00868480153</v>
      </c>
      <c r="I1194" t="s">
        <v>254</v>
      </c>
      <c r="L1194" t="s">
        <v>45</v>
      </c>
      <c r="AJ1194" s="1">
        <v>41638</v>
      </c>
    </row>
    <row r="1195" spans="1:36" ht="15">
      <c r="A1195" t="str">
        <f t="shared" si="60"/>
        <v>5516025FD0</v>
      </c>
      <c r="B1195" t="str">
        <f t="shared" si="57"/>
        <v>02406911202</v>
      </c>
      <c r="C1195" t="s">
        <v>13</v>
      </c>
      <c r="D1195" t="s">
        <v>37</v>
      </c>
      <c r="E1195" t="s">
        <v>756</v>
      </c>
      <c r="F1195" t="s">
        <v>106</v>
      </c>
      <c r="G1195" t="str">
        <f>"02307060281"</f>
        <v>02307060281</v>
      </c>
      <c r="I1195" t="s">
        <v>757</v>
      </c>
      <c r="L1195" t="s">
        <v>45</v>
      </c>
      <c r="AJ1195" s="1">
        <v>41638</v>
      </c>
    </row>
    <row r="1196" spans="1:36" ht="15">
      <c r="A1196" t="str">
        <f t="shared" si="60"/>
        <v>5516025FD0</v>
      </c>
      <c r="B1196" t="str">
        <f t="shared" si="57"/>
        <v>02406911202</v>
      </c>
      <c r="C1196" t="s">
        <v>13</v>
      </c>
      <c r="D1196" t="s">
        <v>37</v>
      </c>
      <c r="E1196" t="s">
        <v>756</v>
      </c>
      <c r="F1196" t="s">
        <v>106</v>
      </c>
      <c r="G1196" t="str">
        <f>"07931650589"</f>
        <v>07931650589</v>
      </c>
      <c r="I1196" t="s">
        <v>129</v>
      </c>
      <c r="L1196" t="s">
        <v>45</v>
      </c>
      <c r="AJ1196" s="1">
        <v>41638</v>
      </c>
    </row>
    <row r="1197" spans="1:36" ht="15">
      <c r="A1197" t="str">
        <f t="shared" si="60"/>
        <v>5516025FD0</v>
      </c>
      <c r="B1197" t="str">
        <f t="shared" si="57"/>
        <v>02406911202</v>
      </c>
      <c r="C1197" t="s">
        <v>13</v>
      </c>
      <c r="D1197" t="s">
        <v>37</v>
      </c>
      <c r="E1197" t="s">
        <v>756</v>
      </c>
      <c r="F1197" t="s">
        <v>106</v>
      </c>
      <c r="G1197" t="str">
        <f>"09699320017"</f>
        <v>09699320017</v>
      </c>
      <c r="I1197" t="s">
        <v>253</v>
      </c>
      <c r="L1197" t="s">
        <v>45</v>
      </c>
      <c r="AJ1197" s="1">
        <v>41638</v>
      </c>
    </row>
    <row r="1198" spans="1:36" ht="15">
      <c r="A1198" t="str">
        <f t="shared" si="60"/>
        <v>5516025FD0</v>
      </c>
      <c r="B1198" t="str">
        <f t="shared" si="57"/>
        <v>02406911202</v>
      </c>
      <c r="C1198" t="s">
        <v>13</v>
      </c>
      <c r="D1198" t="s">
        <v>37</v>
      </c>
      <c r="E1198" t="s">
        <v>756</v>
      </c>
      <c r="F1198" t="s">
        <v>106</v>
      </c>
      <c r="G1198" t="str">
        <f>"11206730159"</f>
        <v>11206730159</v>
      </c>
      <c r="I1198" t="s">
        <v>255</v>
      </c>
      <c r="L1198" t="s">
        <v>45</v>
      </c>
      <c r="AJ1198" s="1">
        <v>41638</v>
      </c>
    </row>
    <row r="1199" spans="1:36" ht="15">
      <c r="A1199" t="str">
        <f t="shared" si="60"/>
        <v>5516025FD0</v>
      </c>
      <c r="B1199" t="str">
        <f t="shared" si="57"/>
        <v>02406911202</v>
      </c>
      <c r="C1199" t="s">
        <v>13</v>
      </c>
      <c r="D1199" t="s">
        <v>37</v>
      </c>
      <c r="E1199" t="s">
        <v>756</v>
      </c>
      <c r="F1199" t="s">
        <v>106</v>
      </c>
      <c r="G1199" t="str">
        <f>"07123400157"</f>
        <v>07123400157</v>
      </c>
      <c r="I1199" t="s">
        <v>645</v>
      </c>
      <c r="L1199" t="s">
        <v>45</v>
      </c>
      <c r="AJ1199" s="1">
        <v>41638</v>
      </c>
    </row>
    <row r="1200" spans="1:36" ht="15">
      <c r="A1200" t="str">
        <f t="shared" si="60"/>
        <v>5516025FD0</v>
      </c>
      <c r="B1200" t="str">
        <f t="shared" si="57"/>
        <v>02406911202</v>
      </c>
      <c r="C1200" t="s">
        <v>13</v>
      </c>
      <c r="D1200" t="s">
        <v>37</v>
      </c>
      <c r="E1200" t="s">
        <v>756</v>
      </c>
      <c r="F1200" t="s">
        <v>106</v>
      </c>
      <c r="G1200" t="str">
        <f>"08641790152"</f>
        <v>08641790152</v>
      </c>
      <c r="I1200" t="s">
        <v>114</v>
      </c>
      <c r="L1200" t="s">
        <v>45</v>
      </c>
      <c r="AJ1200" s="1">
        <v>41638</v>
      </c>
    </row>
    <row r="1201" spans="1:36" ht="15">
      <c r="A1201" t="str">
        <f t="shared" si="60"/>
        <v>5516025FD0</v>
      </c>
      <c r="B1201" t="str">
        <f t="shared" si="57"/>
        <v>02406911202</v>
      </c>
      <c r="C1201" t="s">
        <v>13</v>
      </c>
      <c r="D1201" t="s">
        <v>37</v>
      </c>
      <c r="E1201" t="s">
        <v>756</v>
      </c>
      <c r="F1201" t="s">
        <v>106</v>
      </c>
      <c r="G1201" t="str">
        <f>"01990200170"</f>
        <v>01990200170</v>
      </c>
      <c r="I1201" t="s">
        <v>758</v>
      </c>
      <c r="L1201" t="s">
        <v>45</v>
      </c>
      <c r="AJ1201" s="1">
        <v>41638</v>
      </c>
    </row>
    <row r="1202" spans="1:36" ht="15">
      <c r="A1202" t="str">
        <f t="shared" si="60"/>
        <v>5516025FD0</v>
      </c>
      <c r="B1202" t="str">
        <f t="shared" si="57"/>
        <v>02406911202</v>
      </c>
      <c r="C1202" t="s">
        <v>13</v>
      </c>
      <c r="D1202" t="s">
        <v>37</v>
      </c>
      <c r="E1202" t="s">
        <v>756</v>
      </c>
      <c r="F1202" t="s">
        <v>106</v>
      </c>
      <c r="G1202" t="str">
        <f>"04094700376"</f>
        <v>04094700376</v>
      </c>
      <c r="I1202" t="s">
        <v>256</v>
      </c>
      <c r="L1202" t="s">
        <v>45</v>
      </c>
      <c r="AJ1202" s="1">
        <v>41638</v>
      </c>
    </row>
    <row r="1203" spans="1:36" ht="15">
      <c r="A1203" t="str">
        <f t="shared" si="60"/>
        <v>5516025FD0</v>
      </c>
      <c r="B1203" t="str">
        <f t="shared" si="57"/>
        <v>02406911202</v>
      </c>
      <c r="C1203" t="s">
        <v>13</v>
      </c>
      <c r="D1203" t="s">
        <v>37</v>
      </c>
      <c r="E1203" t="s">
        <v>756</v>
      </c>
      <c r="F1203" t="s">
        <v>106</v>
      </c>
      <c r="G1203" t="str">
        <f>"08082461008"</f>
        <v>08082461008</v>
      </c>
      <c r="I1203" t="s">
        <v>132</v>
      </c>
      <c r="L1203" t="s">
        <v>45</v>
      </c>
      <c r="AJ1203" s="1">
        <v>41638</v>
      </c>
    </row>
    <row r="1204" spans="1:36" ht="15">
      <c r="A1204" t="str">
        <f t="shared" si="60"/>
        <v>5516025FD0</v>
      </c>
      <c r="B1204" t="str">
        <f t="shared" si="57"/>
        <v>02406911202</v>
      </c>
      <c r="C1204" t="s">
        <v>13</v>
      </c>
      <c r="D1204" t="s">
        <v>37</v>
      </c>
      <c r="E1204" t="s">
        <v>756</v>
      </c>
      <c r="F1204" t="s">
        <v>106</v>
      </c>
      <c r="G1204" t="str">
        <f>"00420240376"</f>
        <v>00420240376</v>
      </c>
      <c r="I1204" t="s">
        <v>759</v>
      </c>
      <c r="L1204" t="s">
        <v>45</v>
      </c>
      <c r="AJ1204" s="1">
        <v>41638</v>
      </c>
    </row>
    <row r="1205" spans="1:36" ht="15">
      <c r="A1205" t="str">
        <f t="shared" si="60"/>
        <v>5516025FD0</v>
      </c>
      <c r="B1205" t="str">
        <f t="shared" si="57"/>
        <v>02406911202</v>
      </c>
      <c r="C1205" t="s">
        <v>13</v>
      </c>
      <c r="D1205" t="s">
        <v>37</v>
      </c>
      <c r="E1205" t="s">
        <v>756</v>
      </c>
      <c r="F1205" t="s">
        <v>106</v>
      </c>
      <c r="G1205" t="str">
        <f>"02812360101"</f>
        <v>02812360101</v>
      </c>
      <c r="I1205" t="s">
        <v>445</v>
      </c>
      <c r="L1205" t="s">
        <v>45</v>
      </c>
      <c r="AJ1205" s="1">
        <v>41638</v>
      </c>
    </row>
    <row r="1206" spans="1:36" ht="15">
      <c r="A1206" t="str">
        <f t="shared" si="60"/>
        <v>5516025FD0</v>
      </c>
      <c r="B1206" t="str">
        <f t="shared" si="57"/>
        <v>02406911202</v>
      </c>
      <c r="C1206" t="s">
        <v>13</v>
      </c>
      <c r="D1206" t="s">
        <v>37</v>
      </c>
      <c r="E1206" t="s">
        <v>756</v>
      </c>
      <c r="F1206" t="s">
        <v>106</v>
      </c>
      <c r="G1206" t="str">
        <f>"11575580151"</f>
        <v>11575580151</v>
      </c>
      <c r="I1206" t="s">
        <v>570</v>
      </c>
      <c r="L1206" t="s">
        <v>45</v>
      </c>
      <c r="AJ1206" s="1">
        <v>41638</v>
      </c>
    </row>
    <row r="1207" spans="1:36" ht="15">
      <c r="A1207" t="str">
        <f t="shared" si="60"/>
        <v>5516025FD0</v>
      </c>
      <c r="B1207" t="str">
        <f t="shared" si="57"/>
        <v>02406911202</v>
      </c>
      <c r="C1207" t="s">
        <v>13</v>
      </c>
      <c r="D1207" t="s">
        <v>37</v>
      </c>
      <c r="E1207" t="s">
        <v>756</v>
      </c>
      <c r="F1207" t="s">
        <v>106</v>
      </c>
      <c r="G1207" t="str">
        <f>"01681100150"</f>
        <v>01681100150</v>
      </c>
      <c r="I1207" t="s">
        <v>155</v>
      </c>
      <c r="L1207" t="s">
        <v>45</v>
      </c>
      <c r="AJ1207" s="1">
        <v>41638</v>
      </c>
    </row>
    <row r="1208" spans="1:36" ht="15">
      <c r="A1208" t="str">
        <f t="shared" si="60"/>
        <v>5516025FD0</v>
      </c>
      <c r="B1208" t="str">
        <f t="shared" si="57"/>
        <v>02406911202</v>
      </c>
      <c r="C1208" t="s">
        <v>13</v>
      </c>
      <c r="D1208" t="s">
        <v>37</v>
      </c>
      <c r="E1208" t="s">
        <v>756</v>
      </c>
      <c r="F1208" t="s">
        <v>106</v>
      </c>
      <c r="G1208" t="str">
        <f>"07279701002"</f>
        <v>07279701002</v>
      </c>
      <c r="I1208" t="s">
        <v>760</v>
      </c>
      <c r="L1208" t="s">
        <v>45</v>
      </c>
      <c r="AJ1208" s="1">
        <v>41638</v>
      </c>
    </row>
    <row r="1209" spans="1:36" ht="15">
      <c r="A1209" t="str">
        <f t="shared" si="60"/>
        <v>5516025FD0</v>
      </c>
      <c r="B1209" t="str">
        <f t="shared" si="57"/>
        <v>02406911202</v>
      </c>
      <c r="C1209" t="s">
        <v>13</v>
      </c>
      <c r="D1209" t="s">
        <v>37</v>
      </c>
      <c r="E1209" t="s">
        <v>756</v>
      </c>
      <c r="F1209" t="s">
        <v>106</v>
      </c>
      <c r="G1209" t="str">
        <f>"03748120155"</f>
        <v>03748120155</v>
      </c>
      <c r="I1209" t="s">
        <v>136</v>
      </c>
      <c r="L1209" t="s">
        <v>41</v>
      </c>
      <c r="M1209">
        <v>43200</v>
      </c>
      <c r="AG1209">
        <v>28196</v>
      </c>
      <c r="AH1209" s="1">
        <v>41671</v>
      </c>
      <c r="AI1209" s="1">
        <v>42766</v>
      </c>
      <c r="AJ1209" s="1">
        <v>41638</v>
      </c>
    </row>
    <row r="1210" spans="1:36" ht="15">
      <c r="A1210" t="str">
        <f>"5520598D93"</f>
        <v>5520598D93</v>
      </c>
      <c r="B1210" t="str">
        <f t="shared" si="57"/>
        <v>02406911202</v>
      </c>
      <c r="C1210" t="s">
        <v>13</v>
      </c>
      <c r="D1210" t="s">
        <v>37</v>
      </c>
      <c r="E1210" t="s">
        <v>761</v>
      </c>
      <c r="F1210" t="s">
        <v>39</v>
      </c>
      <c r="G1210" t="str">
        <f>"00051570893"</f>
        <v>00051570893</v>
      </c>
      <c r="I1210" t="s">
        <v>762</v>
      </c>
      <c r="L1210" t="s">
        <v>41</v>
      </c>
      <c r="M1210">
        <v>250000</v>
      </c>
      <c r="AG1210">
        <v>3704.16</v>
      </c>
      <c r="AH1210" s="1">
        <v>41640</v>
      </c>
      <c r="AI1210" s="1">
        <v>42369</v>
      </c>
      <c r="AJ1210" s="1">
        <v>41638</v>
      </c>
    </row>
    <row r="1211" spans="1:36" ht="15">
      <c r="A1211" t="str">
        <f>"5521338042"</f>
        <v>5521338042</v>
      </c>
      <c r="B1211" t="str">
        <f t="shared" si="57"/>
        <v>02406911202</v>
      </c>
      <c r="C1211" t="s">
        <v>13</v>
      </c>
      <c r="D1211" t="s">
        <v>37</v>
      </c>
      <c r="E1211" t="s">
        <v>510</v>
      </c>
      <c r="F1211" t="s">
        <v>86</v>
      </c>
      <c r="G1211" t="str">
        <f>"00890231004"</f>
        <v>00890231004</v>
      </c>
      <c r="I1211" t="s">
        <v>677</v>
      </c>
      <c r="L1211" t="s">
        <v>41</v>
      </c>
      <c r="M1211">
        <v>350748</v>
      </c>
      <c r="AG1211">
        <v>441766.93</v>
      </c>
      <c r="AH1211" s="1">
        <v>41628</v>
      </c>
      <c r="AI1211" s="1">
        <v>41940</v>
      </c>
      <c r="AJ1211" s="1">
        <v>41638</v>
      </c>
    </row>
    <row r="1212" spans="1:36" ht="15">
      <c r="A1212" t="str">
        <f>"5521368901"</f>
        <v>5521368901</v>
      </c>
      <c r="B1212" t="str">
        <f t="shared" si="57"/>
        <v>02406911202</v>
      </c>
      <c r="C1212" t="s">
        <v>13</v>
      </c>
      <c r="D1212" t="s">
        <v>37</v>
      </c>
      <c r="E1212" t="s">
        <v>510</v>
      </c>
      <c r="F1212" t="s">
        <v>86</v>
      </c>
      <c r="G1212" t="str">
        <f>"07435060152"</f>
        <v>07435060152</v>
      </c>
      <c r="I1212" t="s">
        <v>674</v>
      </c>
      <c r="L1212" t="s">
        <v>41</v>
      </c>
      <c r="M1212">
        <v>165850</v>
      </c>
      <c r="AG1212">
        <v>185689.28</v>
      </c>
      <c r="AH1212" s="1">
        <v>41628</v>
      </c>
      <c r="AI1212" s="1">
        <v>41940</v>
      </c>
      <c r="AJ1212" s="1">
        <v>41638</v>
      </c>
    </row>
    <row r="1213" spans="1:36" ht="15">
      <c r="A1213" t="str">
        <f>"ZF20D0B824"</f>
        <v>ZF20D0B824</v>
      </c>
      <c r="B1213" t="str">
        <f t="shared" si="57"/>
        <v>02406911202</v>
      </c>
      <c r="C1213" t="s">
        <v>13</v>
      </c>
      <c r="D1213" t="s">
        <v>37</v>
      </c>
      <c r="E1213" t="s">
        <v>763</v>
      </c>
      <c r="F1213" t="s">
        <v>86</v>
      </c>
      <c r="G1213" t="str">
        <f>"02362600344"</f>
        <v>02362600344</v>
      </c>
      <c r="I1213" t="s">
        <v>764</v>
      </c>
      <c r="L1213" t="s">
        <v>41</v>
      </c>
      <c r="M1213">
        <v>8200</v>
      </c>
      <c r="AG1213">
        <v>0</v>
      </c>
      <c r="AH1213" s="1">
        <v>41640</v>
      </c>
      <c r="AI1213" s="1">
        <v>42004</v>
      </c>
      <c r="AJ1213" s="1">
        <v>41638</v>
      </c>
    </row>
    <row r="1214" spans="1:36" ht="15">
      <c r="A1214" t="str">
        <f>"55213011B9"</f>
        <v>55213011B9</v>
      </c>
      <c r="B1214" t="str">
        <f t="shared" si="57"/>
        <v>02406911202</v>
      </c>
      <c r="C1214" t="s">
        <v>13</v>
      </c>
      <c r="D1214" t="s">
        <v>37</v>
      </c>
      <c r="E1214" t="s">
        <v>765</v>
      </c>
      <c r="F1214" t="s">
        <v>86</v>
      </c>
      <c r="G1214" t="str">
        <f>"11264670156"</f>
        <v>11264670156</v>
      </c>
      <c r="I1214" t="s">
        <v>386</v>
      </c>
      <c r="L1214" t="s">
        <v>41</v>
      </c>
      <c r="M1214">
        <v>62000</v>
      </c>
      <c r="AG1214">
        <v>62000</v>
      </c>
      <c r="AH1214" s="1">
        <v>41640</v>
      </c>
      <c r="AI1214" s="1">
        <v>42369</v>
      </c>
      <c r="AJ1214" s="1">
        <v>41638</v>
      </c>
    </row>
    <row r="1215" spans="1:36" ht="15">
      <c r="A1215" t="str">
        <f>"5458639367"</f>
        <v>5458639367</v>
      </c>
      <c r="B1215" t="str">
        <f t="shared" si="57"/>
        <v>02406911202</v>
      </c>
      <c r="C1215" t="s">
        <v>13</v>
      </c>
      <c r="D1215" t="s">
        <v>37</v>
      </c>
      <c r="E1215" t="s">
        <v>766</v>
      </c>
      <c r="F1215" t="s">
        <v>86</v>
      </c>
      <c r="H1215" t="str">
        <f>"DK32151108"</f>
        <v>DK32151108</v>
      </c>
      <c r="I1215" t="s">
        <v>767</v>
      </c>
      <c r="L1215" t="s">
        <v>41</v>
      </c>
      <c r="M1215">
        <v>104605</v>
      </c>
      <c r="AG1215">
        <v>105002</v>
      </c>
      <c r="AH1215" s="1">
        <v>41640</v>
      </c>
      <c r="AI1215" s="1">
        <v>42004</v>
      </c>
      <c r="AJ1215" s="1">
        <v>41638</v>
      </c>
    </row>
    <row r="1216" spans="1:36" ht="15">
      <c r="A1216" t="str">
        <f>"552415119E"</f>
        <v>552415119E</v>
      </c>
      <c r="B1216" t="str">
        <f t="shared" si="57"/>
        <v>02406911202</v>
      </c>
      <c r="C1216" t="s">
        <v>13</v>
      </c>
      <c r="D1216" t="s">
        <v>37</v>
      </c>
      <c r="E1216" t="s">
        <v>768</v>
      </c>
      <c r="F1216" t="s">
        <v>86</v>
      </c>
      <c r="G1216" t="str">
        <f>"01841620154"</f>
        <v>01841620154</v>
      </c>
      <c r="I1216" t="s">
        <v>769</v>
      </c>
      <c r="L1216" t="s">
        <v>41</v>
      </c>
      <c r="M1216">
        <v>125000</v>
      </c>
      <c r="AG1216">
        <v>109935.94</v>
      </c>
      <c r="AH1216" s="1">
        <v>41640</v>
      </c>
      <c r="AI1216" s="1">
        <v>42004</v>
      </c>
      <c r="AJ1216" s="1">
        <v>41638</v>
      </c>
    </row>
    <row r="1217" spans="1:36" ht="15">
      <c r="A1217" t="str">
        <f>"55241901CD"</f>
        <v>55241901CD</v>
      </c>
      <c r="B1217" t="str">
        <f t="shared" si="57"/>
        <v>02406911202</v>
      </c>
      <c r="C1217" t="s">
        <v>13</v>
      </c>
      <c r="D1217" t="s">
        <v>37</v>
      </c>
      <c r="E1217" t="s">
        <v>768</v>
      </c>
      <c r="F1217" t="s">
        <v>86</v>
      </c>
      <c r="G1217" t="str">
        <f>"00448770586"</f>
        <v>00448770586</v>
      </c>
      <c r="I1217" t="s">
        <v>770</v>
      </c>
      <c r="L1217" t="s">
        <v>41</v>
      </c>
      <c r="M1217">
        <v>400000</v>
      </c>
      <c r="AG1217">
        <v>336547.29</v>
      </c>
      <c r="AH1217" s="1">
        <v>41640</v>
      </c>
      <c r="AI1217" s="1">
        <v>42004</v>
      </c>
      <c r="AJ1217" s="1">
        <v>41638</v>
      </c>
    </row>
    <row r="1218" spans="1:37" ht="15">
      <c r="A1218" t="str">
        <f>"552639094A"</f>
        <v>552639094A</v>
      </c>
      <c r="B1218" t="str">
        <f aca="true" t="shared" si="61" ref="B1218:B1281">"02406911202"</f>
        <v>02406911202</v>
      </c>
      <c r="C1218" t="s">
        <v>13</v>
      </c>
      <c r="D1218" t="s">
        <v>37</v>
      </c>
      <c r="E1218" t="s">
        <v>771</v>
      </c>
      <c r="F1218" t="s">
        <v>39</v>
      </c>
      <c r="G1218" t="str">
        <f>"00470300377"</f>
        <v>00470300377</v>
      </c>
      <c r="I1218" t="s">
        <v>747</v>
      </c>
      <c r="J1218" t="s">
        <v>772</v>
      </c>
      <c r="K1218" t="s">
        <v>51</v>
      </c>
      <c r="AJ1218" s="1">
        <v>41638</v>
      </c>
      <c r="AK1218" t="s">
        <v>773</v>
      </c>
    </row>
    <row r="1219" spans="1:37" ht="15">
      <c r="A1219" t="str">
        <f>"552639094A"</f>
        <v>552639094A</v>
      </c>
      <c r="B1219" t="str">
        <f t="shared" si="61"/>
        <v>02406911202</v>
      </c>
      <c r="C1219" t="s">
        <v>13</v>
      </c>
      <c r="D1219" t="s">
        <v>37</v>
      </c>
      <c r="E1219" t="s">
        <v>771</v>
      </c>
      <c r="F1219" t="s">
        <v>39</v>
      </c>
      <c r="G1219" t="str">
        <f>"00632770376"</f>
        <v>00632770376</v>
      </c>
      <c r="I1219" t="s">
        <v>774</v>
      </c>
      <c r="J1219" t="s">
        <v>772</v>
      </c>
      <c r="K1219" t="s">
        <v>53</v>
      </c>
      <c r="AJ1219" s="1">
        <v>41638</v>
      </c>
      <c r="AK1219" t="s">
        <v>773</v>
      </c>
    </row>
    <row r="1220" spans="1:37" ht="15">
      <c r="A1220" t="str">
        <f>"552639094A"</f>
        <v>552639094A</v>
      </c>
      <c r="B1220" t="str">
        <f t="shared" si="61"/>
        <v>02406911202</v>
      </c>
      <c r="C1220" t="s">
        <v>13</v>
      </c>
      <c r="D1220" t="s">
        <v>37</v>
      </c>
      <c r="E1220" t="s">
        <v>771</v>
      </c>
      <c r="F1220" t="s">
        <v>39</v>
      </c>
      <c r="G1220" t="str">
        <f>"02324680392"</f>
        <v>02324680392</v>
      </c>
      <c r="I1220" t="s">
        <v>775</v>
      </c>
      <c r="J1220" t="s">
        <v>772</v>
      </c>
      <c r="K1220" t="s">
        <v>53</v>
      </c>
      <c r="AJ1220" s="1">
        <v>41638</v>
      </c>
      <c r="AK1220" t="s">
        <v>773</v>
      </c>
    </row>
    <row r="1221" spans="1:37" ht="15">
      <c r="A1221" t="str">
        <f>"552639094A"</f>
        <v>552639094A</v>
      </c>
      <c r="B1221" t="str">
        <f t="shared" si="61"/>
        <v>02406911202</v>
      </c>
      <c r="C1221" t="s">
        <v>13</v>
      </c>
      <c r="D1221" t="s">
        <v>37</v>
      </c>
      <c r="E1221" t="s">
        <v>771</v>
      </c>
      <c r="F1221" t="s">
        <v>39</v>
      </c>
      <c r="I1221" t="s">
        <v>772</v>
      </c>
      <c r="L1221" t="s">
        <v>41</v>
      </c>
      <c r="M1221">
        <v>750000</v>
      </c>
      <c r="AG1221">
        <v>839105.27</v>
      </c>
      <c r="AH1221" s="1">
        <v>41640</v>
      </c>
      <c r="AI1221" s="1">
        <v>42735</v>
      </c>
      <c r="AJ1221" s="1">
        <v>41638</v>
      </c>
      <c r="AK1221" t="s">
        <v>773</v>
      </c>
    </row>
    <row r="1222" spans="1:36" ht="15">
      <c r="A1222" t="str">
        <f>"5530234D74"</f>
        <v>5530234D74</v>
      </c>
      <c r="B1222" t="str">
        <f t="shared" si="61"/>
        <v>02406911202</v>
      </c>
      <c r="C1222" t="s">
        <v>13</v>
      </c>
      <c r="D1222" t="s">
        <v>37</v>
      </c>
      <c r="E1222" t="s">
        <v>776</v>
      </c>
      <c r="F1222" t="s">
        <v>86</v>
      </c>
      <c r="G1222" t="str">
        <f>"03555970379"</f>
        <v>03555970379</v>
      </c>
      <c r="I1222" t="s">
        <v>777</v>
      </c>
      <c r="L1222" t="s">
        <v>41</v>
      </c>
      <c r="M1222">
        <v>30150</v>
      </c>
      <c r="AG1222">
        <v>119792.3</v>
      </c>
      <c r="AH1222" s="1">
        <v>41640</v>
      </c>
      <c r="AI1222" s="1">
        <v>41820</v>
      </c>
      <c r="AJ1222" s="1">
        <v>41638</v>
      </c>
    </row>
    <row r="1223" spans="1:36" ht="15">
      <c r="A1223" t="str">
        <f>"4882490634"</f>
        <v>4882490634</v>
      </c>
      <c r="B1223" t="str">
        <f t="shared" si="61"/>
        <v>02406911202</v>
      </c>
      <c r="C1223" t="s">
        <v>13</v>
      </c>
      <c r="D1223" t="s">
        <v>37</v>
      </c>
      <c r="E1223" t="s">
        <v>778</v>
      </c>
      <c r="F1223" t="s">
        <v>86</v>
      </c>
      <c r="G1223" t="str">
        <f>"02138111204"</f>
        <v>02138111204</v>
      </c>
      <c r="I1223" t="s">
        <v>779</v>
      </c>
      <c r="L1223" t="s">
        <v>41</v>
      </c>
      <c r="M1223">
        <v>81232</v>
      </c>
      <c r="AG1223">
        <v>81232</v>
      </c>
      <c r="AH1223" s="1">
        <v>41324</v>
      </c>
      <c r="AI1223" s="1">
        <v>41334</v>
      </c>
      <c r="AJ1223" s="1">
        <v>41638</v>
      </c>
    </row>
    <row r="1224" spans="1:36" ht="15">
      <c r="A1224" t="str">
        <f>"4882931222"</f>
        <v>4882931222</v>
      </c>
      <c r="B1224" t="str">
        <f t="shared" si="61"/>
        <v>02406911202</v>
      </c>
      <c r="C1224" t="s">
        <v>13</v>
      </c>
      <c r="D1224" t="s">
        <v>37</v>
      </c>
      <c r="E1224" t="s">
        <v>778</v>
      </c>
      <c r="F1224" t="s">
        <v>86</v>
      </c>
      <c r="G1224" t="str">
        <f>"02962611204"</f>
        <v>02962611204</v>
      </c>
      <c r="I1224" t="s">
        <v>780</v>
      </c>
      <c r="L1224" t="s">
        <v>41</v>
      </c>
      <c r="M1224">
        <v>6761</v>
      </c>
      <c r="AG1224">
        <v>6760.9</v>
      </c>
      <c r="AH1224" s="1">
        <v>41324</v>
      </c>
      <c r="AI1224" s="1">
        <v>41334</v>
      </c>
      <c r="AJ1224" s="1">
        <v>41638</v>
      </c>
    </row>
    <row r="1225" spans="1:36" ht="15">
      <c r="A1225" t="str">
        <f>"4882868E21"</f>
        <v>4882868E21</v>
      </c>
      <c r="B1225" t="str">
        <f t="shared" si="61"/>
        <v>02406911202</v>
      </c>
      <c r="C1225" t="s">
        <v>13</v>
      </c>
      <c r="D1225" t="s">
        <v>37</v>
      </c>
      <c r="E1225" t="s">
        <v>778</v>
      </c>
      <c r="F1225" t="s">
        <v>86</v>
      </c>
      <c r="G1225" t="str">
        <f>"91227380374"</f>
        <v>91227380374</v>
      </c>
      <c r="I1225" t="s">
        <v>781</v>
      </c>
      <c r="L1225" t="s">
        <v>41</v>
      </c>
      <c r="M1225">
        <v>5963</v>
      </c>
      <c r="AG1225">
        <v>5963</v>
      </c>
      <c r="AH1225" s="1">
        <v>41324</v>
      </c>
      <c r="AI1225" s="1">
        <v>41334</v>
      </c>
      <c r="AJ1225" s="1">
        <v>41638</v>
      </c>
    </row>
    <row r="1226" spans="1:36" ht="15">
      <c r="A1226" t="str">
        <f>"1994007DBB"</f>
        <v>1994007DBB</v>
      </c>
      <c r="B1226" t="str">
        <f t="shared" si="61"/>
        <v>02406911202</v>
      </c>
      <c r="C1226" t="s">
        <v>13</v>
      </c>
      <c r="D1226" t="s">
        <v>37</v>
      </c>
      <c r="E1226" t="s">
        <v>778</v>
      </c>
      <c r="F1226" t="s">
        <v>86</v>
      </c>
      <c r="G1226" t="str">
        <f>"00470300377"</f>
        <v>00470300377</v>
      </c>
      <c r="I1226" t="s">
        <v>747</v>
      </c>
      <c r="L1226" t="s">
        <v>41</v>
      </c>
      <c r="M1226">
        <v>5268</v>
      </c>
      <c r="AG1226">
        <v>5268</v>
      </c>
      <c r="AH1226" s="1">
        <v>41324</v>
      </c>
      <c r="AI1226" s="1">
        <v>41334</v>
      </c>
      <c r="AJ1226" s="1">
        <v>41638</v>
      </c>
    </row>
    <row r="1227" spans="1:36" ht="15">
      <c r="A1227" t="str">
        <f>"417012827D"</f>
        <v>417012827D</v>
      </c>
      <c r="B1227" t="str">
        <f t="shared" si="61"/>
        <v>02406911202</v>
      </c>
      <c r="C1227" t="s">
        <v>13</v>
      </c>
      <c r="D1227" t="s">
        <v>37</v>
      </c>
      <c r="E1227" t="s">
        <v>778</v>
      </c>
      <c r="F1227" t="s">
        <v>86</v>
      </c>
      <c r="G1227" t="str">
        <f>"03210231209"</f>
        <v>03210231209</v>
      </c>
      <c r="I1227" t="s">
        <v>782</v>
      </c>
      <c r="L1227" t="s">
        <v>41</v>
      </c>
      <c r="M1227">
        <v>26725</v>
      </c>
      <c r="AG1227">
        <v>34826.94</v>
      </c>
      <c r="AH1227" s="1">
        <v>41304</v>
      </c>
      <c r="AI1227" s="1">
        <v>41334</v>
      </c>
      <c r="AJ1227" s="1">
        <v>41638</v>
      </c>
    </row>
    <row r="1228" spans="1:36" ht="15">
      <c r="A1228" t="str">
        <f>"48828932C6"</f>
        <v>48828932C6</v>
      </c>
      <c r="B1228" t="str">
        <f t="shared" si="61"/>
        <v>02406911202</v>
      </c>
      <c r="C1228" t="s">
        <v>13</v>
      </c>
      <c r="D1228" t="s">
        <v>37</v>
      </c>
      <c r="E1228" t="s">
        <v>778</v>
      </c>
      <c r="F1228" t="s">
        <v>86</v>
      </c>
      <c r="G1228" t="str">
        <f>"04250060375"</f>
        <v>04250060375</v>
      </c>
      <c r="I1228" t="s">
        <v>783</v>
      </c>
      <c r="L1228" t="s">
        <v>41</v>
      </c>
      <c r="M1228">
        <v>154145</v>
      </c>
      <c r="AG1228">
        <v>154145</v>
      </c>
      <c r="AH1228" s="1">
        <v>41324</v>
      </c>
      <c r="AI1228" s="1">
        <v>41334</v>
      </c>
      <c r="AJ1228" s="1">
        <v>41638</v>
      </c>
    </row>
    <row r="1229" spans="1:36" ht="15">
      <c r="A1229" t="str">
        <f>"4882903B04"</f>
        <v>4882903B04</v>
      </c>
      <c r="B1229" t="str">
        <f t="shared" si="61"/>
        <v>02406911202</v>
      </c>
      <c r="C1229" t="s">
        <v>13</v>
      </c>
      <c r="D1229" t="s">
        <v>37</v>
      </c>
      <c r="E1229" t="s">
        <v>778</v>
      </c>
      <c r="F1229" t="s">
        <v>86</v>
      </c>
      <c r="G1229" t="str">
        <f>"02048281204"</f>
        <v>02048281204</v>
      </c>
      <c r="I1229" t="s">
        <v>784</v>
      </c>
      <c r="L1229" t="s">
        <v>41</v>
      </c>
      <c r="M1229">
        <v>91009</v>
      </c>
      <c r="AG1229">
        <v>91009.05</v>
      </c>
      <c r="AH1229" s="1">
        <v>41324</v>
      </c>
      <c r="AI1229" s="1">
        <v>41334</v>
      </c>
      <c r="AJ1229" s="1">
        <v>41638</v>
      </c>
    </row>
    <row r="1230" spans="1:36" ht="15">
      <c r="A1230" t="str">
        <f>"48829165C0"</f>
        <v>48829165C0</v>
      </c>
      <c r="B1230" t="str">
        <f t="shared" si="61"/>
        <v>02406911202</v>
      </c>
      <c r="C1230" t="s">
        <v>13</v>
      </c>
      <c r="D1230" t="s">
        <v>37</v>
      </c>
      <c r="E1230" t="s">
        <v>778</v>
      </c>
      <c r="F1230" t="s">
        <v>86</v>
      </c>
      <c r="G1230" t="str">
        <f>"02676511203"</f>
        <v>02676511203</v>
      </c>
      <c r="I1230" t="s">
        <v>785</v>
      </c>
      <c r="L1230" t="s">
        <v>41</v>
      </c>
      <c r="M1230">
        <v>86743</v>
      </c>
      <c r="AG1230">
        <v>86742.54</v>
      </c>
      <c r="AH1230" s="1">
        <v>41324</v>
      </c>
      <c r="AI1230" s="1">
        <v>41334</v>
      </c>
      <c r="AJ1230" s="1">
        <v>41638</v>
      </c>
    </row>
    <row r="1231" spans="1:36" ht="15">
      <c r="A1231" t="str">
        <f>"4882941A60"</f>
        <v>4882941A60</v>
      </c>
      <c r="B1231" t="str">
        <f t="shared" si="61"/>
        <v>02406911202</v>
      </c>
      <c r="C1231" t="s">
        <v>13</v>
      </c>
      <c r="D1231" t="s">
        <v>37</v>
      </c>
      <c r="E1231" t="s">
        <v>778</v>
      </c>
      <c r="F1231" t="s">
        <v>86</v>
      </c>
      <c r="G1231" t="str">
        <f>"00131971202"</f>
        <v>00131971202</v>
      </c>
      <c r="I1231" t="s">
        <v>786</v>
      </c>
      <c r="L1231" t="s">
        <v>41</v>
      </c>
      <c r="M1231">
        <v>25848</v>
      </c>
      <c r="AG1231">
        <v>25848.37</v>
      </c>
      <c r="AH1231" s="1">
        <v>41324</v>
      </c>
      <c r="AI1231" s="1">
        <v>41334</v>
      </c>
      <c r="AJ1231" s="1">
        <v>41638</v>
      </c>
    </row>
    <row r="1232" spans="1:36" ht="15">
      <c r="A1232" t="str">
        <f>"4883040C12"</f>
        <v>4883040C12</v>
      </c>
      <c r="B1232" t="str">
        <f t="shared" si="61"/>
        <v>02406911202</v>
      </c>
      <c r="C1232" t="s">
        <v>13</v>
      </c>
      <c r="D1232" t="s">
        <v>37</v>
      </c>
      <c r="E1232" t="s">
        <v>778</v>
      </c>
      <c r="F1232" t="s">
        <v>86</v>
      </c>
      <c r="G1232" t="str">
        <f>"01773231202"</f>
        <v>01773231202</v>
      </c>
      <c r="I1232" t="s">
        <v>787</v>
      </c>
      <c r="L1232" t="s">
        <v>41</v>
      </c>
      <c r="M1232">
        <v>20890</v>
      </c>
      <c r="AG1232">
        <v>20890</v>
      </c>
      <c r="AH1232" s="1">
        <v>41324</v>
      </c>
      <c r="AI1232" s="1">
        <v>41334</v>
      </c>
      <c r="AJ1232" s="1">
        <v>41638</v>
      </c>
    </row>
    <row r="1233" spans="1:36" ht="15">
      <c r="A1233" t="str">
        <f>"553182700E"</f>
        <v>553182700E</v>
      </c>
      <c r="B1233" t="str">
        <f t="shared" si="61"/>
        <v>02406911202</v>
      </c>
      <c r="C1233" t="s">
        <v>13</v>
      </c>
      <c r="D1233" t="s">
        <v>37</v>
      </c>
      <c r="E1233" t="s">
        <v>778</v>
      </c>
      <c r="F1233" t="s">
        <v>86</v>
      </c>
      <c r="G1233" t="str">
        <f>"01627131202"</f>
        <v>01627131202</v>
      </c>
      <c r="I1233" t="s">
        <v>788</v>
      </c>
      <c r="L1233" t="s">
        <v>41</v>
      </c>
      <c r="M1233">
        <v>1150</v>
      </c>
      <c r="AG1233">
        <v>1150</v>
      </c>
      <c r="AH1233" s="1">
        <v>41639</v>
      </c>
      <c r="AI1233" s="1">
        <v>41649</v>
      </c>
      <c r="AJ1233" s="1">
        <v>41638</v>
      </c>
    </row>
    <row r="1234" spans="1:36" ht="15">
      <c r="A1234" t="str">
        <f>"4883212A03"</f>
        <v>4883212A03</v>
      </c>
      <c r="B1234" t="str">
        <f t="shared" si="61"/>
        <v>02406911202</v>
      </c>
      <c r="C1234" t="s">
        <v>13</v>
      </c>
      <c r="D1234" t="s">
        <v>37</v>
      </c>
      <c r="E1234" t="s">
        <v>789</v>
      </c>
      <c r="F1234" t="s">
        <v>86</v>
      </c>
      <c r="G1234" t="str">
        <f>"02228881203"</f>
        <v>02228881203</v>
      </c>
      <c r="I1234" t="s">
        <v>790</v>
      </c>
      <c r="L1234" t="s">
        <v>41</v>
      </c>
      <c r="M1234">
        <v>10743268</v>
      </c>
      <c r="AG1234">
        <v>11576275.41</v>
      </c>
      <c r="AH1234" s="1">
        <v>41298</v>
      </c>
      <c r="AI1234" s="1">
        <v>41308</v>
      </c>
      <c r="AJ1234" s="1">
        <v>41638</v>
      </c>
    </row>
    <row r="1235" spans="1:36" ht="15">
      <c r="A1235" t="str">
        <f>"5355450126"</f>
        <v>5355450126</v>
      </c>
      <c r="B1235" t="str">
        <f t="shared" si="61"/>
        <v>02406911202</v>
      </c>
      <c r="C1235" t="s">
        <v>13</v>
      </c>
      <c r="D1235" t="s">
        <v>37</v>
      </c>
      <c r="E1235" t="s">
        <v>791</v>
      </c>
      <c r="F1235" t="s">
        <v>86</v>
      </c>
      <c r="G1235" t="str">
        <f>"03057420360"</f>
        <v>03057420360</v>
      </c>
      <c r="I1235" t="s">
        <v>792</v>
      </c>
      <c r="L1235" t="s">
        <v>41</v>
      </c>
      <c r="M1235">
        <v>16250</v>
      </c>
      <c r="AG1235">
        <v>16250</v>
      </c>
      <c r="AH1235" s="1">
        <v>41487</v>
      </c>
      <c r="AI1235" s="1">
        <v>41497</v>
      </c>
      <c r="AJ1235" s="1">
        <v>41638</v>
      </c>
    </row>
    <row r="1236" spans="1:36" ht="15">
      <c r="A1236" t="str">
        <f>"ZA10D36344"</f>
        <v>ZA10D36344</v>
      </c>
      <c r="B1236" t="str">
        <f t="shared" si="61"/>
        <v>02406911202</v>
      </c>
      <c r="C1236" t="s">
        <v>793</v>
      </c>
      <c r="D1236" t="s">
        <v>794</v>
      </c>
      <c r="E1236" t="s">
        <v>795</v>
      </c>
      <c r="F1236" t="s">
        <v>796</v>
      </c>
      <c r="G1236" t="str">
        <f>"03703610372"</f>
        <v>03703610372</v>
      </c>
      <c r="I1236" t="s">
        <v>797</v>
      </c>
      <c r="L1236" t="s">
        <v>41</v>
      </c>
      <c r="M1236">
        <v>6126.95</v>
      </c>
      <c r="AG1236">
        <v>6126.95</v>
      </c>
      <c r="AH1236" s="1">
        <v>41631</v>
      </c>
      <c r="AI1236" s="1">
        <v>41644</v>
      </c>
      <c r="AJ1236" s="1">
        <v>41631</v>
      </c>
    </row>
    <row r="1237" spans="1:36" ht="15">
      <c r="A1237" t="str">
        <f>"ZD0105DFBA"</f>
        <v>ZD0105DFBA</v>
      </c>
      <c r="B1237" t="str">
        <f t="shared" si="61"/>
        <v>02406911202</v>
      </c>
      <c r="C1237" t="s">
        <v>793</v>
      </c>
      <c r="D1237" t="s">
        <v>794</v>
      </c>
      <c r="E1237" t="s">
        <v>798</v>
      </c>
      <c r="F1237" t="s">
        <v>796</v>
      </c>
      <c r="G1237" t="str">
        <f>"01383340385"</f>
        <v>01383340385</v>
      </c>
      <c r="I1237" t="s">
        <v>799</v>
      </c>
      <c r="L1237" t="s">
        <v>41</v>
      </c>
      <c r="M1237">
        <v>27625</v>
      </c>
      <c r="AG1237">
        <v>0</v>
      </c>
      <c r="AH1237" s="1">
        <v>41456</v>
      </c>
      <c r="AI1237" s="1">
        <v>41820</v>
      </c>
      <c r="AJ1237" s="1">
        <v>41456</v>
      </c>
    </row>
    <row r="1238" spans="1:36" ht="15">
      <c r="A1238" t="str">
        <f>"ZA40967F9A"</f>
        <v>ZA40967F9A</v>
      </c>
      <c r="B1238" t="str">
        <f t="shared" si="61"/>
        <v>02406911202</v>
      </c>
      <c r="C1238" t="s">
        <v>793</v>
      </c>
      <c r="D1238" t="s">
        <v>794</v>
      </c>
      <c r="E1238" t="s">
        <v>800</v>
      </c>
      <c r="F1238" t="s">
        <v>796</v>
      </c>
      <c r="G1238" t="str">
        <f>"03079790964"</f>
        <v>03079790964</v>
      </c>
      <c r="I1238" t="s">
        <v>801</v>
      </c>
      <c r="L1238" t="s">
        <v>41</v>
      </c>
      <c r="M1238">
        <v>39000</v>
      </c>
      <c r="AG1238">
        <v>118338.95</v>
      </c>
      <c r="AH1238" s="1">
        <v>41375</v>
      </c>
      <c r="AI1238" s="1">
        <v>41405</v>
      </c>
      <c r="AJ1238" s="1">
        <v>41375</v>
      </c>
    </row>
    <row r="1239" spans="1:36" ht="15">
      <c r="A1239" t="str">
        <f>"ZE909FC935"</f>
        <v>ZE909FC935</v>
      </c>
      <c r="B1239" t="str">
        <f t="shared" si="61"/>
        <v>02406911202</v>
      </c>
      <c r="C1239" t="s">
        <v>793</v>
      </c>
      <c r="D1239" t="s">
        <v>794</v>
      </c>
      <c r="E1239" t="s">
        <v>802</v>
      </c>
      <c r="F1239" t="s">
        <v>796</v>
      </c>
      <c r="G1239" t="str">
        <f>"09291850155"</f>
        <v>09291850155</v>
      </c>
      <c r="I1239" t="s">
        <v>803</v>
      </c>
      <c r="L1239" t="s">
        <v>41</v>
      </c>
      <c r="M1239">
        <v>39000</v>
      </c>
      <c r="AG1239">
        <v>34155</v>
      </c>
      <c r="AH1239" s="1">
        <v>41306</v>
      </c>
      <c r="AI1239" s="1">
        <v>42766</v>
      </c>
      <c r="AJ1239" s="1">
        <v>41306</v>
      </c>
    </row>
    <row r="1240" spans="1:36" ht="15">
      <c r="A1240" t="str">
        <f>"5200668EFC"</f>
        <v>5200668EFC</v>
      </c>
      <c r="B1240" t="str">
        <f t="shared" si="61"/>
        <v>02406911202</v>
      </c>
      <c r="C1240" t="s">
        <v>793</v>
      </c>
      <c r="D1240" t="s">
        <v>794</v>
      </c>
      <c r="E1240" t="s">
        <v>804</v>
      </c>
      <c r="F1240" t="s">
        <v>39</v>
      </c>
      <c r="G1240" t="str">
        <f>"02221101203"</f>
        <v>02221101203</v>
      </c>
      <c r="I1240" t="s">
        <v>805</v>
      </c>
      <c r="J1240" t="s">
        <v>806</v>
      </c>
      <c r="K1240" t="s">
        <v>807</v>
      </c>
      <c r="AJ1240" s="1">
        <v>41548</v>
      </c>
    </row>
    <row r="1241" spans="1:36" ht="15">
      <c r="A1241" t="str">
        <f>"5200668EFC"</f>
        <v>5200668EFC</v>
      </c>
      <c r="B1241" t="str">
        <f t="shared" si="61"/>
        <v>02406911202</v>
      </c>
      <c r="C1241" t="s">
        <v>793</v>
      </c>
      <c r="D1241" t="s">
        <v>794</v>
      </c>
      <c r="E1241" t="s">
        <v>804</v>
      </c>
      <c r="F1241" t="s">
        <v>39</v>
      </c>
      <c r="G1241" t="str">
        <f>"00338000409"</f>
        <v>00338000409</v>
      </c>
      <c r="I1241" t="s">
        <v>808</v>
      </c>
      <c r="J1241" t="s">
        <v>806</v>
      </c>
      <c r="K1241" t="s">
        <v>809</v>
      </c>
      <c r="AJ1241" s="1">
        <v>41548</v>
      </c>
    </row>
    <row r="1242" spans="1:36" ht="15">
      <c r="A1242" t="str">
        <f>"5200668EFC"</f>
        <v>5200668EFC</v>
      </c>
      <c r="B1242" t="str">
        <f t="shared" si="61"/>
        <v>02406911202</v>
      </c>
      <c r="C1242" t="s">
        <v>793</v>
      </c>
      <c r="D1242" t="s">
        <v>794</v>
      </c>
      <c r="E1242" t="s">
        <v>804</v>
      </c>
      <c r="F1242" t="s">
        <v>39</v>
      </c>
      <c r="I1242" t="s">
        <v>806</v>
      </c>
      <c r="L1242" t="s">
        <v>41</v>
      </c>
      <c r="M1242">
        <v>63234.9</v>
      </c>
      <c r="AG1242">
        <v>77464.53</v>
      </c>
      <c r="AH1242" s="1">
        <v>41548</v>
      </c>
      <c r="AI1242" s="1">
        <v>41639</v>
      </c>
      <c r="AJ1242" s="1">
        <v>41548</v>
      </c>
    </row>
    <row r="1243" spans="1:36" ht="15">
      <c r="A1243" t="str">
        <f>"ZAD085D125"</f>
        <v>ZAD085D125</v>
      </c>
      <c r="B1243" t="str">
        <f t="shared" si="61"/>
        <v>02406911202</v>
      </c>
      <c r="C1243" t="s">
        <v>793</v>
      </c>
      <c r="D1243" t="s">
        <v>794</v>
      </c>
      <c r="E1243" t="s">
        <v>810</v>
      </c>
      <c r="F1243" t="s">
        <v>796</v>
      </c>
      <c r="G1243" t="str">
        <f>"01383340385"</f>
        <v>01383340385</v>
      </c>
      <c r="I1243" t="s">
        <v>799</v>
      </c>
      <c r="L1243" t="s">
        <v>41</v>
      </c>
      <c r="M1243">
        <v>22750</v>
      </c>
      <c r="AG1243">
        <v>97647.35</v>
      </c>
      <c r="AH1243" s="1">
        <v>41311</v>
      </c>
      <c r="AI1243" s="1">
        <v>41455</v>
      </c>
      <c r="AJ1243" s="1">
        <v>41311</v>
      </c>
    </row>
    <row r="1244" spans="1:36" ht="15">
      <c r="A1244" t="str">
        <f aca="true" t="shared" si="62" ref="A1244:A1249">"4815871677"</f>
        <v>4815871677</v>
      </c>
      <c r="B1244" t="str">
        <f t="shared" si="61"/>
        <v>02406911202</v>
      </c>
      <c r="C1244" t="s">
        <v>13</v>
      </c>
      <c r="D1244" t="s">
        <v>794</v>
      </c>
      <c r="E1244" t="s">
        <v>811</v>
      </c>
      <c r="F1244" t="s">
        <v>43</v>
      </c>
      <c r="G1244" t="str">
        <f>"03214610242"</f>
        <v>03214610242</v>
      </c>
      <c r="I1244" t="s">
        <v>812</v>
      </c>
      <c r="L1244" t="s">
        <v>41</v>
      </c>
      <c r="M1244">
        <v>1532000</v>
      </c>
      <c r="AG1244">
        <v>8171404.24</v>
      </c>
      <c r="AH1244" s="1">
        <v>41529</v>
      </c>
      <c r="AI1244" s="1">
        <v>45756</v>
      </c>
      <c r="AJ1244" s="1">
        <v>41529</v>
      </c>
    </row>
    <row r="1245" spans="1:36" ht="15">
      <c r="A1245" t="str">
        <f t="shared" si="62"/>
        <v>4815871677</v>
      </c>
      <c r="B1245" t="str">
        <f t="shared" si="61"/>
        <v>02406911202</v>
      </c>
      <c r="C1245" t="s">
        <v>13</v>
      </c>
      <c r="D1245" t="s">
        <v>794</v>
      </c>
      <c r="E1245" t="s">
        <v>811</v>
      </c>
      <c r="F1245" t="s">
        <v>43</v>
      </c>
      <c r="G1245" t="str">
        <f>"01468160393"</f>
        <v>01468160393</v>
      </c>
      <c r="I1245" t="s">
        <v>52</v>
      </c>
      <c r="L1245" t="s">
        <v>45</v>
      </c>
      <c r="AJ1245" s="1">
        <v>41529</v>
      </c>
    </row>
    <row r="1246" spans="1:36" ht="15">
      <c r="A1246" t="str">
        <f t="shared" si="62"/>
        <v>4815871677</v>
      </c>
      <c r="B1246" t="str">
        <f t="shared" si="61"/>
        <v>02406911202</v>
      </c>
      <c r="C1246" t="s">
        <v>13</v>
      </c>
      <c r="D1246" t="s">
        <v>794</v>
      </c>
      <c r="E1246" t="s">
        <v>811</v>
      </c>
      <c r="F1246" t="s">
        <v>43</v>
      </c>
      <c r="G1246" t="str">
        <f>"09336350153"</f>
        <v>09336350153</v>
      </c>
      <c r="I1246" t="s">
        <v>813</v>
      </c>
      <c r="L1246" t="s">
        <v>45</v>
      </c>
      <c r="AJ1246" s="1">
        <v>41529</v>
      </c>
    </row>
    <row r="1247" spans="1:36" ht="15">
      <c r="A1247" t="str">
        <f t="shared" si="62"/>
        <v>4815871677</v>
      </c>
      <c r="B1247" t="str">
        <f t="shared" si="61"/>
        <v>02406911202</v>
      </c>
      <c r="C1247" t="s">
        <v>13</v>
      </c>
      <c r="D1247" t="s">
        <v>794</v>
      </c>
      <c r="E1247" t="s">
        <v>811</v>
      </c>
      <c r="F1247" t="s">
        <v>43</v>
      </c>
      <c r="G1247" t="str">
        <f>"00281620377"</f>
        <v>00281620377</v>
      </c>
      <c r="I1247" t="s">
        <v>814</v>
      </c>
      <c r="L1247" t="s">
        <v>45</v>
      </c>
      <c r="AJ1247" s="1">
        <v>41529</v>
      </c>
    </row>
    <row r="1248" spans="1:36" ht="15">
      <c r="A1248" t="str">
        <f t="shared" si="62"/>
        <v>4815871677</v>
      </c>
      <c r="B1248" t="str">
        <f t="shared" si="61"/>
        <v>02406911202</v>
      </c>
      <c r="C1248" t="s">
        <v>13</v>
      </c>
      <c r="D1248" t="s">
        <v>794</v>
      </c>
      <c r="E1248" t="s">
        <v>811</v>
      </c>
      <c r="F1248" t="s">
        <v>43</v>
      </c>
      <c r="G1248" t="str">
        <f>"00099440299"</f>
        <v>00099440299</v>
      </c>
      <c r="I1248" t="s">
        <v>815</v>
      </c>
      <c r="L1248" t="s">
        <v>45</v>
      </c>
      <c r="AJ1248" s="1">
        <v>41529</v>
      </c>
    </row>
    <row r="1249" spans="1:36" ht="15">
      <c r="A1249" t="str">
        <f t="shared" si="62"/>
        <v>4815871677</v>
      </c>
      <c r="B1249" t="str">
        <f t="shared" si="61"/>
        <v>02406911202</v>
      </c>
      <c r="C1249" t="s">
        <v>13</v>
      </c>
      <c r="D1249" t="s">
        <v>794</v>
      </c>
      <c r="E1249" t="s">
        <v>811</v>
      </c>
      <c r="F1249" t="s">
        <v>43</v>
      </c>
      <c r="G1249" t="str">
        <f>"00916510365"</f>
        <v>00916510365</v>
      </c>
      <c r="I1249" t="s">
        <v>816</v>
      </c>
      <c r="L1249" t="s">
        <v>45</v>
      </c>
      <c r="AJ1249" s="1">
        <v>41529</v>
      </c>
    </row>
    <row r="1250" spans="1:36" ht="15">
      <c r="A1250" t="str">
        <f>"52475005FC"</f>
        <v>52475005FC</v>
      </c>
      <c r="B1250" t="str">
        <f t="shared" si="61"/>
        <v>02406911202</v>
      </c>
      <c r="C1250" t="s">
        <v>793</v>
      </c>
      <c r="D1250" t="s">
        <v>794</v>
      </c>
      <c r="E1250" t="s">
        <v>817</v>
      </c>
      <c r="F1250" t="s">
        <v>796</v>
      </c>
      <c r="G1250" t="str">
        <f>"09291850155"</f>
        <v>09291850155</v>
      </c>
      <c r="I1250" t="s">
        <v>803</v>
      </c>
      <c r="L1250" t="s">
        <v>41</v>
      </c>
      <c r="M1250">
        <v>56000</v>
      </c>
      <c r="AG1250">
        <v>52500</v>
      </c>
      <c r="AH1250" s="1">
        <v>41477</v>
      </c>
      <c r="AI1250" s="1">
        <v>42937</v>
      </c>
      <c r="AJ1250" s="1">
        <v>41477</v>
      </c>
    </row>
    <row r="1251" spans="1:36" ht="15">
      <c r="A1251" t="str">
        <f>"Z920B7AA83"</f>
        <v>Z920B7AA83</v>
      </c>
      <c r="B1251" t="str">
        <f t="shared" si="61"/>
        <v>02406911202</v>
      </c>
      <c r="C1251" t="s">
        <v>793</v>
      </c>
      <c r="D1251" t="s">
        <v>794</v>
      </c>
      <c r="E1251" t="s">
        <v>818</v>
      </c>
      <c r="F1251" t="s">
        <v>796</v>
      </c>
      <c r="G1251" t="str">
        <f>"MNTNRC64D11E289D"</f>
        <v>MNTNRC64D11E289D</v>
      </c>
      <c r="I1251" t="s">
        <v>819</v>
      </c>
      <c r="L1251" t="s">
        <v>41</v>
      </c>
      <c r="M1251">
        <v>24198.34</v>
      </c>
      <c r="AG1251">
        <v>25166.27</v>
      </c>
      <c r="AH1251" s="1">
        <v>41534</v>
      </c>
      <c r="AI1251" s="1">
        <v>42174</v>
      </c>
      <c r="AJ1251" s="1">
        <v>41534</v>
      </c>
    </row>
    <row r="1252" spans="1:36" ht="15">
      <c r="A1252" t="str">
        <f>"Z160B58C3A"</f>
        <v>Z160B58C3A</v>
      </c>
      <c r="B1252" t="str">
        <f t="shared" si="61"/>
        <v>02406911202</v>
      </c>
      <c r="C1252" t="s">
        <v>793</v>
      </c>
      <c r="D1252" t="s">
        <v>794</v>
      </c>
      <c r="E1252" t="s">
        <v>820</v>
      </c>
      <c r="F1252" t="s">
        <v>796</v>
      </c>
      <c r="G1252" t="str">
        <f>"03079790964"</f>
        <v>03079790964</v>
      </c>
      <c r="I1252" t="s">
        <v>801</v>
      </c>
      <c r="L1252" t="s">
        <v>41</v>
      </c>
      <c r="M1252">
        <v>4000</v>
      </c>
      <c r="AG1252">
        <v>0</v>
      </c>
      <c r="AH1252" s="1">
        <v>41528</v>
      </c>
      <c r="AI1252" s="1">
        <v>41540</v>
      </c>
      <c r="AJ1252" s="1">
        <v>41528</v>
      </c>
    </row>
    <row r="1253" spans="1:36" ht="15">
      <c r="A1253" t="str">
        <f>"Z2C0CB290F"</f>
        <v>Z2C0CB290F</v>
      </c>
      <c r="B1253" t="str">
        <f t="shared" si="61"/>
        <v>02406911202</v>
      </c>
      <c r="C1253" t="s">
        <v>793</v>
      </c>
      <c r="D1253" t="s">
        <v>794</v>
      </c>
      <c r="E1253" t="s">
        <v>821</v>
      </c>
      <c r="F1253" t="s">
        <v>796</v>
      </c>
      <c r="G1253" t="str">
        <f>"00291390375"</f>
        <v>00291390375</v>
      </c>
      <c r="I1253" t="s">
        <v>822</v>
      </c>
      <c r="L1253" t="s">
        <v>41</v>
      </c>
      <c r="M1253">
        <v>36000</v>
      </c>
      <c r="AG1253">
        <v>34032.66</v>
      </c>
      <c r="AH1253" s="1">
        <v>41613</v>
      </c>
      <c r="AI1253" s="1">
        <v>41677</v>
      </c>
      <c r="AJ1253" s="1">
        <v>41613</v>
      </c>
    </row>
    <row r="1254" spans="1:36" ht="15">
      <c r="A1254" t="str">
        <f>"Z2607FD58B"</f>
        <v>Z2607FD58B</v>
      </c>
      <c r="B1254" t="str">
        <f t="shared" si="61"/>
        <v>02406911202</v>
      </c>
      <c r="C1254" t="s">
        <v>793</v>
      </c>
      <c r="D1254" t="s">
        <v>794</v>
      </c>
      <c r="E1254" t="s">
        <v>823</v>
      </c>
      <c r="F1254" t="s">
        <v>796</v>
      </c>
      <c r="G1254" t="str">
        <f>"03037611203"</f>
        <v>03037611203</v>
      </c>
      <c r="I1254" t="s">
        <v>824</v>
      </c>
      <c r="L1254" t="s">
        <v>41</v>
      </c>
      <c r="M1254">
        <v>4500</v>
      </c>
      <c r="AG1254">
        <v>4680</v>
      </c>
      <c r="AH1254" s="1">
        <v>41281</v>
      </c>
      <c r="AI1254" s="1">
        <v>41736</v>
      </c>
      <c r="AJ1254" s="1">
        <v>41281</v>
      </c>
    </row>
    <row r="1255" spans="1:36" ht="15">
      <c r="A1255" t="str">
        <f>"Z73082D46F"</f>
        <v>Z73082D46F</v>
      </c>
      <c r="B1255" t="str">
        <f t="shared" si="61"/>
        <v>02406911202</v>
      </c>
      <c r="C1255" t="s">
        <v>793</v>
      </c>
      <c r="D1255" t="s">
        <v>794</v>
      </c>
      <c r="E1255" t="s">
        <v>825</v>
      </c>
      <c r="F1255" t="s">
        <v>796</v>
      </c>
      <c r="G1255" t="str">
        <f>"05016170630"</f>
        <v>05016170630</v>
      </c>
      <c r="I1255" t="s">
        <v>826</v>
      </c>
      <c r="L1255" t="s">
        <v>41</v>
      </c>
      <c r="M1255">
        <v>4800</v>
      </c>
      <c r="AG1255">
        <v>4800</v>
      </c>
      <c r="AH1255" s="1">
        <v>41290</v>
      </c>
      <c r="AI1255" s="1">
        <v>41397</v>
      </c>
      <c r="AJ1255" s="1">
        <v>41290</v>
      </c>
    </row>
    <row r="1256" spans="1:36" ht="15">
      <c r="A1256" t="str">
        <f>"513969527D"</f>
        <v>513969527D</v>
      </c>
      <c r="B1256" t="str">
        <f t="shared" si="61"/>
        <v>02406911202</v>
      </c>
      <c r="C1256" t="s">
        <v>793</v>
      </c>
      <c r="D1256" t="s">
        <v>794</v>
      </c>
      <c r="E1256" t="s">
        <v>827</v>
      </c>
      <c r="F1256" t="s">
        <v>86</v>
      </c>
      <c r="G1256" t="str">
        <f>"03037611203"</f>
        <v>03037611203</v>
      </c>
      <c r="I1256" t="s">
        <v>824</v>
      </c>
      <c r="L1256" t="s">
        <v>41</v>
      </c>
      <c r="M1256">
        <v>55582.52</v>
      </c>
      <c r="AG1256">
        <v>54183.36</v>
      </c>
      <c r="AH1256" s="1">
        <v>41430</v>
      </c>
      <c r="AI1256" s="1">
        <v>41562</v>
      </c>
      <c r="AJ1256" s="1">
        <v>41430</v>
      </c>
    </row>
    <row r="1257" spans="1:36" ht="15">
      <c r="A1257" t="str">
        <f>"Z290920A85"</f>
        <v>Z290920A85</v>
      </c>
      <c r="B1257" t="str">
        <f t="shared" si="61"/>
        <v>02406911202</v>
      </c>
      <c r="C1257" t="s">
        <v>793</v>
      </c>
      <c r="D1257" t="s">
        <v>794</v>
      </c>
      <c r="E1257" t="s">
        <v>828</v>
      </c>
      <c r="F1257" t="s">
        <v>39</v>
      </c>
      <c r="G1257" t="str">
        <f>"02221101203"</f>
        <v>02221101203</v>
      </c>
      <c r="I1257" t="s">
        <v>805</v>
      </c>
      <c r="J1257" t="s">
        <v>806</v>
      </c>
      <c r="K1257" t="s">
        <v>807</v>
      </c>
      <c r="AJ1257" s="1">
        <v>41395</v>
      </c>
    </row>
    <row r="1258" spans="1:36" ht="15">
      <c r="A1258" t="str">
        <f>"Z290920A85"</f>
        <v>Z290920A85</v>
      </c>
      <c r="B1258" t="str">
        <f t="shared" si="61"/>
        <v>02406911202</v>
      </c>
      <c r="C1258" t="s">
        <v>793</v>
      </c>
      <c r="D1258" t="s">
        <v>794</v>
      </c>
      <c r="E1258" t="s">
        <v>828</v>
      </c>
      <c r="F1258" t="s">
        <v>39</v>
      </c>
      <c r="G1258" t="str">
        <f>"00338000409"</f>
        <v>00338000409</v>
      </c>
      <c r="I1258" t="s">
        <v>808</v>
      </c>
      <c r="J1258" t="s">
        <v>806</v>
      </c>
      <c r="K1258" t="s">
        <v>809</v>
      </c>
      <c r="AJ1258" s="1">
        <v>41395</v>
      </c>
    </row>
    <row r="1259" spans="1:36" ht="15">
      <c r="A1259" t="str">
        <f>"Z290920A85"</f>
        <v>Z290920A85</v>
      </c>
      <c r="B1259" t="str">
        <f t="shared" si="61"/>
        <v>02406911202</v>
      </c>
      <c r="C1259" t="s">
        <v>793</v>
      </c>
      <c r="D1259" t="s">
        <v>794</v>
      </c>
      <c r="E1259" t="s">
        <v>828</v>
      </c>
      <c r="F1259" t="s">
        <v>39</v>
      </c>
      <c r="I1259" t="s">
        <v>806</v>
      </c>
      <c r="L1259" t="s">
        <v>41</v>
      </c>
      <c r="M1259">
        <v>4000</v>
      </c>
      <c r="AG1259">
        <v>4157.04</v>
      </c>
      <c r="AH1259" s="1">
        <v>41395</v>
      </c>
      <c r="AI1259" s="1">
        <v>41639</v>
      </c>
      <c r="AJ1259" s="1">
        <v>41395</v>
      </c>
    </row>
    <row r="1260" spans="1:36" ht="15">
      <c r="A1260" t="str">
        <f>"53224386C7"</f>
        <v>53224386C7</v>
      </c>
      <c r="B1260" t="str">
        <f t="shared" si="61"/>
        <v>02406911202</v>
      </c>
      <c r="C1260" t="s">
        <v>793</v>
      </c>
      <c r="D1260" t="s">
        <v>794</v>
      </c>
      <c r="E1260" t="s">
        <v>829</v>
      </c>
      <c r="F1260" t="s">
        <v>89</v>
      </c>
      <c r="G1260" t="str">
        <f>"DLLMNG60A04G479Y"</f>
        <v>DLLMNG60A04G479Y</v>
      </c>
      <c r="I1260" t="s">
        <v>830</v>
      </c>
      <c r="L1260" t="s">
        <v>41</v>
      </c>
      <c r="M1260">
        <v>27162.14</v>
      </c>
      <c r="AG1260">
        <v>28248.62</v>
      </c>
      <c r="AH1260" s="1">
        <v>41624</v>
      </c>
      <c r="AI1260" s="1">
        <v>42711</v>
      </c>
      <c r="AJ1260" s="1">
        <v>41624</v>
      </c>
    </row>
    <row r="1261" spans="1:36" ht="15">
      <c r="A1261" t="str">
        <f>"53224386C7"</f>
        <v>53224386C7</v>
      </c>
      <c r="B1261" t="str">
        <f t="shared" si="61"/>
        <v>02406911202</v>
      </c>
      <c r="C1261" t="s">
        <v>793</v>
      </c>
      <c r="D1261" t="s">
        <v>794</v>
      </c>
      <c r="E1261" t="s">
        <v>829</v>
      </c>
      <c r="F1261" t="s">
        <v>89</v>
      </c>
      <c r="G1261" t="str">
        <f>"GRNDVD62B22F205L"</f>
        <v>GRNDVD62B22F205L</v>
      </c>
      <c r="I1261" t="s">
        <v>831</v>
      </c>
      <c r="L1261" t="s">
        <v>45</v>
      </c>
      <c r="AJ1261" s="1">
        <v>41624</v>
      </c>
    </row>
    <row r="1262" spans="1:36" ht="15">
      <c r="A1262" t="str">
        <f>"53224386C7"</f>
        <v>53224386C7</v>
      </c>
      <c r="B1262" t="str">
        <f t="shared" si="61"/>
        <v>02406911202</v>
      </c>
      <c r="C1262" t="s">
        <v>793</v>
      </c>
      <c r="D1262" t="s">
        <v>794</v>
      </c>
      <c r="E1262" t="s">
        <v>829</v>
      </c>
      <c r="F1262" t="s">
        <v>89</v>
      </c>
      <c r="G1262" t="str">
        <f>"03037611203"</f>
        <v>03037611203</v>
      </c>
      <c r="I1262" t="s">
        <v>824</v>
      </c>
      <c r="L1262" t="s">
        <v>45</v>
      </c>
      <c r="AJ1262" s="1">
        <v>41624</v>
      </c>
    </row>
    <row r="1263" spans="1:36" ht="15">
      <c r="A1263" t="str">
        <f>"53224386C7"</f>
        <v>53224386C7</v>
      </c>
      <c r="B1263" t="str">
        <f t="shared" si="61"/>
        <v>02406911202</v>
      </c>
      <c r="C1263" t="s">
        <v>793</v>
      </c>
      <c r="D1263" t="s">
        <v>794</v>
      </c>
      <c r="E1263" t="s">
        <v>829</v>
      </c>
      <c r="F1263" t="s">
        <v>89</v>
      </c>
      <c r="G1263" t="str">
        <f>"BNDDNL57R18L361W"</f>
        <v>BNDDNL57R18L361W</v>
      </c>
      <c r="I1263" t="s">
        <v>832</v>
      </c>
      <c r="L1263" t="s">
        <v>45</v>
      </c>
      <c r="AJ1263" s="1">
        <v>41624</v>
      </c>
    </row>
    <row r="1264" spans="1:36" ht="15">
      <c r="A1264" t="str">
        <f>"53224386C7"</f>
        <v>53224386C7</v>
      </c>
      <c r="B1264" t="str">
        <f t="shared" si="61"/>
        <v>02406911202</v>
      </c>
      <c r="C1264" t="s">
        <v>793</v>
      </c>
      <c r="D1264" t="s">
        <v>794</v>
      </c>
      <c r="E1264" t="s">
        <v>829</v>
      </c>
      <c r="F1264" t="s">
        <v>89</v>
      </c>
      <c r="G1264" t="str">
        <f>"MNTNRC64D11E289D"</f>
        <v>MNTNRC64D11E289D</v>
      </c>
      <c r="I1264" t="s">
        <v>819</v>
      </c>
      <c r="L1264" t="s">
        <v>45</v>
      </c>
      <c r="AJ1264" s="1">
        <v>41624</v>
      </c>
    </row>
    <row r="1265" spans="1:36" ht="15">
      <c r="A1265" t="str">
        <f>"ZBE0A4D69F"</f>
        <v>ZBE0A4D69F</v>
      </c>
      <c r="B1265" t="str">
        <f t="shared" si="61"/>
        <v>02406911202</v>
      </c>
      <c r="C1265" t="s">
        <v>793</v>
      </c>
      <c r="D1265" t="s">
        <v>794</v>
      </c>
      <c r="E1265" t="s">
        <v>833</v>
      </c>
      <c r="F1265" t="s">
        <v>796</v>
      </c>
      <c r="G1265" t="str">
        <f>"02510350784"</f>
        <v>02510350784</v>
      </c>
      <c r="I1265" t="s">
        <v>834</v>
      </c>
      <c r="L1265" t="s">
        <v>41</v>
      </c>
      <c r="M1265">
        <v>1500</v>
      </c>
      <c r="AG1265">
        <v>1500</v>
      </c>
      <c r="AH1265" s="1">
        <v>41437</v>
      </c>
      <c r="AI1265" s="1">
        <v>41456</v>
      </c>
      <c r="AJ1265" s="1">
        <v>41437</v>
      </c>
    </row>
    <row r="1266" spans="1:36" ht="15">
      <c r="A1266" t="str">
        <f>"Z3605541E9"</f>
        <v>Z3605541E9</v>
      </c>
      <c r="B1266" t="str">
        <f t="shared" si="61"/>
        <v>02406911202</v>
      </c>
      <c r="C1266" t="s">
        <v>793</v>
      </c>
      <c r="D1266" t="s">
        <v>794</v>
      </c>
      <c r="E1266" t="s">
        <v>835</v>
      </c>
      <c r="F1266" t="s">
        <v>796</v>
      </c>
      <c r="G1266" t="str">
        <f>"01554711208"</f>
        <v>01554711208</v>
      </c>
      <c r="I1266" t="s">
        <v>836</v>
      </c>
      <c r="L1266" t="s">
        <v>41</v>
      </c>
      <c r="M1266">
        <v>12000</v>
      </c>
      <c r="AG1266">
        <v>0</v>
      </c>
      <c r="AH1266" s="1">
        <v>41275</v>
      </c>
      <c r="AI1266" s="1">
        <v>41698</v>
      </c>
      <c r="AJ1266" s="1">
        <v>41275</v>
      </c>
    </row>
    <row r="1267" spans="1:36" ht="15">
      <c r="A1267" t="str">
        <f>"Z0509B2FFB"</f>
        <v>Z0509B2FFB</v>
      </c>
      <c r="B1267" t="str">
        <f t="shared" si="61"/>
        <v>02406911202</v>
      </c>
      <c r="C1267" t="s">
        <v>793</v>
      </c>
      <c r="D1267" t="s">
        <v>794</v>
      </c>
      <c r="E1267" t="s">
        <v>837</v>
      </c>
      <c r="F1267" t="s">
        <v>796</v>
      </c>
      <c r="G1267" t="str">
        <f>"03037611203"</f>
        <v>03037611203</v>
      </c>
      <c r="I1267" t="s">
        <v>824</v>
      </c>
      <c r="L1267" t="s">
        <v>41</v>
      </c>
      <c r="M1267">
        <v>1350</v>
      </c>
      <c r="AG1267">
        <v>1404</v>
      </c>
      <c r="AH1267" s="1">
        <v>41396</v>
      </c>
      <c r="AI1267" s="1">
        <v>42339</v>
      </c>
      <c r="AJ1267" s="1">
        <v>41396</v>
      </c>
    </row>
    <row r="1268" spans="1:36" ht="15">
      <c r="A1268" t="str">
        <f>"Z940801778"</f>
        <v>Z940801778</v>
      </c>
      <c r="B1268" t="str">
        <f t="shared" si="61"/>
        <v>02406911202</v>
      </c>
      <c r="C1268" t="s">
        <v>793</v>
      </c>
      <c r="D1268" t="s">
        <v>794</v>
      </c>
      <c r="E1268" t="s">
        <v>838</v>
      </c>
      <c r="F1268" t="s">
        <v>796</v>
      </c>
      <c r="G1268" t="str">
        <f>"00812530368"</f>
        <v>00812530368</v>
      </c>
      <c r="I1268" t="s">
        <v>839</v>
      </c>
      <c r="L1268" t="s">
        <v>41</v>
      </c>
      <c r="M1268">
        <v>14260</v>
      </c>
      <c r="AG1268">
        <v>14260</v>
      </c>
      <c r="AH1268" s="1">
        <v>41282</v>
      </c>
      <c r="AI1268" s="1">
        <v>41346</v>
      </c>
      <c r="AJ1268" s="1">
        <v>41282</v>
      </c>
    </row>
    <row r="1269" spans="1:36" ht="15">
      <c r="A1269" t="str">
        <f>"Z/3084BZE7"</f>
        <v>Z/3084BZE7</v>
      </c>
      <c r="B1269" t="str">
        <f t="shared" si="61"/>
        <v>02406911202</v>
      </c>
      <c r="C1269" t="s">
        <v>793</v>
      </c>
      <c r="D1269" t="s">
        <v>794</v>
      </c>
      <c r="E1269" t="s">
        <v>840</v>
      </c>
      <c r="F1269" t="s">
        <v>796</v>
      </c>
      <c r="G1269" t="str">
        <f>"TNRDNT58A08E243I"</f>
        <v>TNRDNT58A08E243I</v>
      </c>
      <c r="I1269" t="s">
        <v>841</v>
      </c>
      <c r="L1269" t="s">
        <v>41</v>
      </c>
      <c r="M1269">
        <v>5540</v>
      </c>
      <c r="AG1269">
        <v>0</v>
      </c>
      <c r="AH1269" s="1">
        <v>41297</v>
      </c>
      <c r="AI1269" s="1">
        <v>41693</v>
      </c>
      <c r="AJ1269" s="1">
        <v>41297</v>
      </c>
    </row>
    <row r="1270" spans="1:36" ht="15">
      <c r="A1270" t="str">
        <f>"Z6E0C5424C"</f>
        <v>Z6E0C5424C</v>
      </c>
      <c r="B1270" t="str">
        <f t="shared" si="61"/>
        <v>02406911202</v>
      </c>
      <c r="C1270" t="s">
        <v>793</v>
      </c>
      <c r="D1270" t="s">
        <v>794</v>
      </c>
      <c r="E1270" t="s">
        <v>842</v>
      </c>
      <c r="F1270" t="s">
        <v>796</v>
      </c>
      <c r="G1270" t="str">
        <f>"04049110374"</f>
        <v>04049110374</v>
      </c>
      <c r="I1270" t="s">
        <v>843</v>
      </c>
      <c r="L1270" t="s">
        <v>41</v>
      </c>
      <c r="M1270">
        <v>8000</v>
      </c>
      <c r="AG1270">
        <v>8000</v>
      </c>
      <c r="AH1270" s="1">
        <v>41579</v>
      </c>
      <c r="AI1270" s="1">
        <v>41698</v>
      </c>
      <c r="AJ1270" s="1">
        <v>41579</v>
      </c>
    </row>
    <row r="1271" spans="1:36" ht="15">
      <c r="A1271" t="str">
        <f>"Z8D0C542CF"</f>
        <v>Z8D0C542CF</v>
      </c>
      <c r="B1271" t="str">
        <f t="shared" si="61"/>
        <v>02406911202</v>
      </c>
      <c r="C1271" t="s">
        <v>793</v>
      </c>
      <c r="D1271" t="s">
        <v>794</v>
      </c>
      <c r="E1271" t="s">
        <v>844</v>
      </c>
      <c r="F1271" t="s">
        <v>796</v>
      </c>
      <c r="G1271" t="str">
        <f>"03555570377"</f>
        <v>03555570377</v>
      </c>
      <c r="I1271" t="s">
        <v>845</v>
      </c>
      <c r="L1271" t="s">
        <v>41</v>
      </c>
      <c r="M1271">
        <v>5100</v>
      </c>
      <c r="AG1271">
        <v>14130.85</v>
      </c>
      <c r="AH1271" s="1">
        <v>41579</v>
      </c>
      <c r="AI1271" s="1">
        <v>41698</v>
      </c>
      <c r="AJ1271" s="1">
        <v>41579</v>
      </c>
    </row>
    <row r="1272" spans="1:36" ht="15">
      <c r="A1272" t="str">
        <f>"49891107CF"</f>
        <v>49891107CF</v>
      </c>
      <c r="B1272" t="str">
        <f t="shared" si="61"/>
        <v>02406911202</v>
      </c>
      <c r="C1272" t="s">
        <v>793</v>
      </c>
      <c r="D1272" t="s">
        <v>794</v>
      </c>
      <c r="E1272" t="s">
        <v>846</v>
      </c>
      <c r="F1272" t="s">
        <v>86</v>
      </c>
      <c r="G1272" t="str">
        <f>"BNDDNL57R18L361W"</f>
        <v>BNDDNL57R18L361W</v>
      </c>
      <c r="I1272" t="s">
        <v>832</v>
      </c>
      <c r="L1272" t="s">
        <v>41</v>
      </c>
      <c r="M1272">
        <v>84635.62</v>
      </c>
      <c r="AG1272">
        <v>70729.36</v>
      </c>
      <c r="AH1272" s="1">
        <v>41337</v>
      </c>
      <c r="AI1272" s="1">
        <v>41562</v>
      </c>
      <c r="AJ1272" s="1">
        <v>41337</v>
      </c>
    </row>
    <row r="1273" spans="1:36" ht="15">
      <c r="A1273" t="str">
        <f>"Z060B91E9D"</f>
        <v>Z060B91E9D</v>
      </c>
      <c r="B1273" t="str">
        <f t="shared" si="61"/>
        <v>02406911202</v>
      </c>
      <c r="C1273" t="s">
        <v>793</v>
      </c>
      <c r="D1273" t="s">
        <v>794</v>
      </c>
      <c r="E1273" t="s">
        <v>847</v>
      </c>
      <c r="F1273" t="s">
        <v>796</v>
      </c>
      <c r="G1273" t="str">
        <f>"04135500371"</f>
        <v>04135500371</v>
      </c>
      <c r="I1273" t="s">
        <v>848</v>
      </c>
      <c r="L1273" t="s">
        <v>41</v>
      </c>
      <c r="M1273">
        <v>4600</v>
      </c>
      <c r="AG1273">
        <v>4600</v>
      </c>
      <c r="AH1273" s="1">
        <v>41478</v>
      </c>
      <c r="AI1273" s="1">
        <v>41540</v>
      </c>
      <c r="AJ1273" s="1">
        <v>41478</v>
      </c>
    </row>
    <row r="1274" spans="1:36" ht="15">
      <c r="A1274" t="str">
        <f>"ZA40C54320"</f>
        <v>ZA40C54320</v>
      </c>
      <c r="B1274" t="str">
        <f t="shared" si="61"/>
        <v>02406911202</v>
      </c>
      <c r="C1274" t="s">
        <v>793</v>
      </c>
      <c r="D1274" t="s">
        <v>794</v>
      </c>
      <c r="E1274" t="s">
        <v>849</v>
      </c>
      <c r="F1274" t="s">
        <v>796</v>
      </c>
      <c r="G1274" t="str">
        <f>"04013640372"</f>
        <v>04013640372</v>
      </c>
      <c r="I1274" t="s">
        <v>850</v>
      </c>
      <c r="L1274" t="s">
        <v>41</v>
      </c>
      <c r="M1274">
        <v>3000</v>
      </c>
      <c r="AG1274">
        <v>3000</v>
      </c>
      <c r="AH1274" s="1">
        <v>41579</v>
      </c>
      <c r="AI1274" s="1">
        <v>41698</v>
      </c>
      <c r="AJ1274" s="1">
        <v>41579</v>
      </c>
    </row>
    <row r="1275" spans="1:36" ht="15">
      <c r="A1275" t="str">
        <f>"ZBA0C54136"</f>
        <v>ZBA0C54136</v>
      </c>
      <c r="B1275" t="str">
        <f t="shared" si="61"/>
        <v>02406911202</v>
      </c>
      <c r="C1275" t="s">
        <v>793</v>
      </c>
      <c r="D1275" t="s">
        <v>794</v>
      </c>
      <c r="E1275" t="s">
        <v>851</v>
      </c>
      <c r="F1275" t="s">
        <v>796</v>
      </c>
      <c r="G1275" t="str">
        <f>"02097550376"</f>
        <v>02097550376</v>
      </c>
      <c r="I1275" t="s">
        <v>852</v>
      </c>
      <c r="L1275" t="s">
        <v>41</v>
      </c>
      <c r="M1275">
        <v>5400</v>
      </c>
      <c r="AG1275">
        <v>5400</v>
      </c>
      <c r="AH1275" s="1">
        <v>41579</v>
      </c>
      <c r="AI1275" s="1">
        <v>41698</v>
      </c>
      <c r="AJ1275" s="1">
        <v>41579</v>
      </c>
    </row>
    <row r="1276" spans="1:36" ht="15">
      <c r="A1276" t="str">
        <f>"Z6D0C53934"</f>
        <v>Z6D0C53934</v>
      </c>
      <c r="B1276" t="str">
        <f t="shared" si="61"/>
        <v>02406911202</v>
      </c>
      <c r="C1276" t="s">
        <v>793</v>
      </c>
      <c r="D1276" t="s">
        <v>794</v>
      </c>
      <c r="E1276" t="s">
        <v>853</v>
      </c>
      <c r="F1276" t="s">
        <v>796</v>
      </c>
      <c r="G1276" t="str">
        <f>"03607230376"</f>
        <v>03607230376</v>
      </c>
      <c r="I1276" t="s">
        <v>854</v>
      </c>
      <c r="L1276" t="s">
        <v>41</v>
      </c>
      <c r="M1276">
        <v>6400</v>
      </c>
      <c r="AG1276">
        <v>7047.2</v>
      </c>
      <c r="AH1276" s="1">
        <v>41579</v>
      </c>
      <c r="AI1276" s="1">
        <v>41698</v>
      </c>
      <c r="AJ1276" s="1">
        <v>41579</v>
      </c>
    </row>
    <row r="1277" spans="1:36" ht="15">
      <c r="A1277" t="str">
        <f>"Z440B1EA65"</f>
        <v>Z440B1EA65</v>
      </c>
      <c r="B1277" t="str">
        <f t="shared" si="61"/>
        <v>02406911202</v>
      </c>
      <c r="C1277" t="s">
        <v>793</v>
      </c>
      <c r="D1277" t="s">
        <v>794</v>
      </c>
      <c r="E1277" t="s">
        <v>855</v>
      </c>
      <c r="F1277" t="s">
        <v>796</v>
      </c>
      <c r="G1277" t="str">
        <f>"02510350784"</f>
        <v>02510350784</v>
      </c>
      <c r="I1277" t="s">
        <v>834</v>
      </c>
      <c r="L1277" t="s">
        <v>41</v>
      </c>
      <c r="M1277">
        <v>1500</v>
      </c>
      <c r="AG1277">
        <v>1500</v>
      </c>
      <c r="AH1277" s="1">
        <v>41491</v>
      </c>
      <c r="AI1277" s="1">
        <v>41513</v>
      </c>
      <c r="AJ1277" s="1">
        <v>41491</v>
      </c>
    </row>
    <row r="1278" spans="1:36" ht="15">
      <c r="A1278" t="str">
        <f>"Z070B373CA"</f>
        <v>Z070B373CA</v>
      </c>
      <c r="B1278" t="str">
        <f t="shared" si="61"/>
        <v>02406911202</v>
      </c>
      <c r="C1278" t="s">
        <v>793</v>
      </c>
      <c r="D1278" t="s">
        <v>794</v>
      </c>
      <c r="E1278" t="s">
        <v>856</v>
      </c>
      <c r="F1278" t="s">
        <v>796</v>
      </c>
      <c r="G1278" t="str">
        <f>"02406911202"</f>
        <v>02406911202</v>
      </c>
      <c r="I1278" t="s">
        <v>857</v>
      </c>
      <c r="L1278" t="s">
        <v>41</v>
      </c>
      <c r="M1278">
        <v>1050</v>
      </c>
      <c r="AG1278">
        <v>1092</v>
      </c>
      <c r="AH1278" s="1">
        <v>41507</v>
      </c>
      <c r="AI1278" s="1">
        <v>41533</v>
      </c>
      <c r="AJ1278" s="1">
        <v>41507</v>
      </c>
    </row>
    <row r="1279" spans="1:36" ht="15">
      <c r="A1279" t="str">
        <f>"Z290B162AD"</f>
        <v>Z290B162AD</v>
      </c>
      <c r="B1279" t="str">
        <f t="shared" si="61"/>
        <v>02406911202</v>
      </c>
      <c r="C1279" t="s">
        <v>793</v>
      </c>
      <c r="D1279" t="s">
        <v>794</v>
      </c>
      <c r="E1279" t="s">
        <v>858</v>
      </c>
      <c r="F1279" t="s">
        <v>796</v>
      </c>
      <c r="G1279" t="str">
        <f>"03195951201"</f>
        <v>03195951201</v>
      </c>
      <c r="I1279" t="s">
        <v>859</v>
      </c>
      <c r="L1279" t="s">
        <v>41</v>
      </c>
      <c r="M1279">
        <v>2000</v>
      </c>
      <c r="AG1279">
        <v>2080</v>
      </c>
      <c r="AH1279" s="1">
        <v>41488</v>
      </c>
      <c r="AI1279" s="1">
        <v>41519</v>
      </c>
      <c r="AJ1279" s="1">
        <v>41488</v>
      </c>
    </row>
    <row r="1280" spans="1:36" ht="15">
      <c r="A1280" t="str">
        <f>"Z990BG9CB9"</f>
        <v>Z990BG9CB9</v>
      </c>
      <c r="B1280" t="str">
        <f t="shared" si="61"/>
        <v>02406911202</v>
      </c>
      <c r="C1280" t="s">
        <v>793</v>
      </c>
      <c r="D1280" t="s">
        <v>794</v>
      </c>
      <c r="E1280" t="s">
        <v>860</v>
      </c>
      <c r="F1280" t="s">
        <v>796</v>
      </c>
      <c r="G1280" t="str">
        <f>"DLLMNG60A04G479Y"</f>
        <v>DLLMNG60A04G479Y</v>
      </c>
      <c r="I1280" t="s">
        <v>830</v>
      </c>
      <c r="L1280" t="s">
        <v>41</v>
      </c>
      <c r="M1280">
        <v>16800</v>
      </c>
      <c r="AG1280">
        <v>0</v>
      </c>
      <c r="AH1280" s="1">
        <v>41542</v>
      </c>
      <c r="AI1280" s="1">
        <v>41578</v>
      </c>
      <c r="AJ1280" s="1">
        <v>41542</v>
      </c>
    </row>
    <row r="1281" spans="1:36" ht="15">
      <c r="A1281" t="str">
        <f>"Z5E0CC22D4"</f>
        <v>Z5E0CC22D4</v>
      </c>
      <c r="B1281" t="str">
        <f t="shared" si="61"/>
        <v>02406911202</v>
      </c>
      <c r="C1281" t="s">
        <v>793</v>
      </c>
      <c r="D1281" t="s">
        <v>794</v>
      </c>
      <c r="E1281" t="s">
        <v>861</v>
      </c>
      <c r="F1281" t="s">
        <v>796</v>
      </c>
      <c r="G1281" t="str">
        <f>"TNRDNT58A08E243I"</f>
        <v>TNRDNT58A08E243I</v>
      </c>
      <c r="I1281" t="s">
        <v>841</v>
      </c>
      <c r="L1281" t="s">
        <v>41</v>
      </c>
      <c r="M1281">
        <v>950</v>
      </c>
      <c r="AG1281">
        <v>950</v>
      </c>
      <c r="AH1281" s="1">
        <v>41614</v>
      </c>
      <c r="AI1281" s="1">
        <v>41703</v>
      </c>
      <c r="AJ1281" s="1">
        <v>41614</v>
      </c>
    </row>
    <row r="1282" spans="1:36" ht="15">
      <c r="A1282" t="str">
        <f>"Z9E0D11437"</f>
        <v>Z9E0D11437</v>
      </c>
      <c r="B1282" t="str">
        <f aca="true" t="shared" si="63" ref="B1282:B1345">"02406911202"</f>
        <v>02406911202</v>
      </c>
      <c r="C1282" t="s">
        <v>793</v>
      </c>
      <c r="D1282" t="s">
        <v>794</v>
      </c>
      <c r="E1282" t="s">
        <v>862</v>
      </c>
      <c r="F1282" t="s">
        <v>796</v>
      </c>
      <c r="G1282" t="str">
        <f>"03195951201"</f>
        <v>03195951201</v>
      </c>
      <c r="I1282" t="s">
        <v>859</v>
      </c>
      <c r="L1282" t="s">
        <v>41</v>
      </c>
      <c r="M1282">
        <v>3500</v>
      </c>
      <c r="AG1282">
        <v>3640</v>
      </c>
      <c r="AH1282" s="1">
        <v>41626</v>
      </c>
      <c r="AI1282" s="1">
        <v>41680</v>
      </c>
      <c r="AJ1282" s="1">
        <v>41626</v>
      </c>
    </row>
    <row r="1283" spans="1:36" ht="15">
      <c r="A1283" t="str">
        <f>"Z5307CDC15"</f>
        <v>Z5307CDC15</v>
      </c>
      <c r="B1283" t="str">
        <f t="shared" si="63"/>
        <v>02406911202</v>
      </c>
      <c r="C1283" t="s">
        <v>13</v>
      </c>
      <c r="D1283" t="s">
        <v>794</v>
      </c>
      <c r="E1283" t="s">
        <v>863</v>
      </c>
      <c r="F1283" t="s">
        <v>796</v>
      </c>
      <c r="G1283" t="str">
        <f>"09291850155"</f>
        <v>09291850155</v>
      </c>
      <c r="I1283" t="s">
        <v>803</v>
      </c>
      <c r="L1283" t="s">
        <v>41</v>
      </c>
      <c r="M1283">
        <v>30000</v>
      </c>
      <c r="AG1283">
        <v>30000</v>
      </c>
      <c r="AH1283" s="1">
        <v>41281</v>
      </c>
      <c r="AI1283" s="1">
        <v>41289</v>
      </c>
      <c r="AJ1283" s="1">
        <v>41281</v>
      </c>
    </row>
    <row r="1284" spans="1:36" ht="15">
      <c r="A1284" t="str">
        <f>"4793751876"</f>
        <v>4793751876</v>
      </c>
      <c r="B1284" t="str">
        <f t="shared" si="63"/>
        <v>02406911202</v>
      </c>
      <c r="C1284" t="s">
        <v>793</v>
      </c>
      <c r="D1284" t="s">
        <v>794</v>
      </c>
      <c r="E1284" t="s">
        <v>864</v>
      </c>
      <c r="F1284" t="s">
        <v>39</v>
      </c>
      <c r="G1284" t="str">
        <f>"02221101203"</f>
        <v>02221101203</v>
      </c>
      <c r="I1284" t="s">
        <v>805</v>
      </c>
      <c r="J1284" t="s">
        <v>806</v>
      </c>
      <c r="K1284" t="s">
        <v>807</v>
      </c>
      <c r="AJ1284" s="1">
        <v>41275</v>
      </c>
    </row>
    <row r="1285" spans="1:36" ht="15">
      <c r="A1285" t="str">
        <f>"4793751876"</f>
        <v>4793751876</v>
      </c>
      <c r="B1285" t="str">
        <f t="shared" si="63"/>
        <v>02406911202</v>
      </c>
      <c r="C1285" t="s">
        <v>793</v>
      </c>
      <c r="D1285" t="s">
        <v>794</v>
      </c>
      <c r="E1285" t="s">
        <v>864</v>
      </c>
      <c r="F1285" t="s">
        <v>39</v>
      </c>
      <c r="G1285" t="str">
        <f>"00338000409"</f>
        <v>00338000409</v>
      </c>
      <c r="I1285" t="s">
        <v>808</v>
      </c>
      <c r="J1285" t="s">
        <v>806</v>
      </c>
      <c r="K1285" t="s">
        <v>809</v>
      </c>
      <c r="AJ1285" s="1">
        <v>41275</v>
      </c>
    </row>
    <row r="1286" spans="1:36" ht="15">
      <c r="A1286" t="str">
        <f>"4793751876"</f>
        <v>4793751876</v>
      </c>
      <c r="B1286" t="str">
        <f t="shared" si="63"/>
        <v>02406911202</v>
      </c>
      <c r="C1286" t="s">
        <v>793</v>
      </c>
      <c r="D1286" t="s">
        <v>794</v>
      </c>
      <c r="E1286" t="s">
        <v>864</v>
      </c>
      <c r="F1286" t="s">
        <v>39</v>
      </c>
      <c r="I1286" t="s">
        <v>806</v>
      </c>
      <c r="L1286" t="s">
        <v>41</v>
      </c>
      <c r="M1286">
        <v>143449.71</v>
      </c>
      <c r="AG1286">
        <v>565957.46</v>
      </c>
      <c r="AH1286" s="1">
        <v>41275</v>
      </c>
      <c r="AI1286" s="1">
        <v>41639</v>
      </c>
      <c r="AJ1286" s="1">
        <v>41275</v>
      </c>
    </row>
    <row r="1287" spans="1:36" ht="15">
      <c r="A1287" t="str">
        <f>"Z410B4D1C3"</f>
        <v>Z410B4D1C3</v>
      </c>
      <c r="B1287" t="str">
        <f t="shared" si="63"/>
        <v>02406911202</v>
      </c>
      <c r="C1287" t="s">
        <v>793</v>
      </c>
      <c r="D1287" t="s">
        <v>794</v>
      </c>
      <c r="E1287" t="s">
        <v>865</v>
      </c>
      <c r="F1287" t="s">
        <v>796</v>
      </c>
      <c r="G1287" t="str">
        <f>"GNDGPL35R04F706R"</f>
        <v>GNDGPL35R04F706R</v>
      </c>
      <c r="I1287" t="s">
        <v>866</v>
      </c>
      <c r="L1287" t="s">
        <v>41</v>
      </c>
      <c r="M1287">
        <v>8453.87</v>
      </c>
      <c r="AG1287">
        <v>1519.33</v>
      </c>
      <c r="AH1287" s="1">
        <v>41521</v>
      </c>
      <c r="AI1287" s="1">
        <v>41625</v>
      </c>
      <c r="AJ1287" s="1">
        <v>41521</v>
      </c>
    </row>
    <row r="1288" spans="1:36" ht="15">
      <c r="A1288" t="str">
        <f>"Z1D04F5A4E"</f>
        <v>Z1D04F5A4E</v>
      </c>
      <c r="B1288" t="str">
        <f t="shared" si="63"/>
        <v>02406911202</v>
      </c>
      <c r="C1288" t="s">
        <v>793</v>
      </c>
      <c r="D1288" t="s">
        <v>794</v>
      </c>
      <c r="E1288" t="s">
        <v>867</v>
      </c>
      <c r="F1288" t="s">
        <v>796</v>
      </c>
      <c r="G1288" t="str">
        <f>"09291850155"</f>
        <v>09291850155</v>
      </c>
      <c r="I1288" t="s">
        <v>803</v>
      </c>
      <c r="L1288" t="s">
        <v>41</v>
      </c>
      <c r="M1288">
        <v>117580</v>
      </c>
      <c r="AG1288">
        <v>13917.81</v>
      </c>
      <c r="AH1288" s="1">
        <v>41326</v>
      </c>
      <c r="AI1288" s="1">
        <v>41486</v>
      </c>
      <c r="AJ1288" s="1">
        <v>41326</v>
      </c>
    </row>
    <row r="1289" spans="1:36" ht="15">
      <c r="A1289" t="str">
        <f>"ZEB052326E"</f>
        <v>ZEB052326E</v>
      </c>
      <c r="B1289" t="str">
        <f t="shared" si="63"/>
        <v>02406911202</v>
      </c>
      <c r="C1289" t="s">
        <v>793</v>
      </c>
      <c r="D1289" t="s">
        <v>794</v>
      </c>
      <c r="E1289" t="s">
        <v>868</v>
      </c>
      <c r="F1289" t="s">
        <v>796</v>
      </c>
      <c r="G1289" t="str">
        <f>"05958530965"</f>
        <v>05958530965</v>
      </c>
      <c r="I1289" t="s">
        <v>869</v>
      </c>
      <c r="L1289" t="s">
        <v>41</v>
      </c>
      <c r="M1289">
        <v>6887.5</v>
      </c>
      <c r="AG1289">
        <v>19357.5</v>
      </c>
      <c r="AH1289" s="1">
        <v>41352</v>
      </c>
      <c r="AI1289" s="1">
        <v>41486</v>
      </c>
      <c r="AJ1289" s="1">
        <v>41352</v>
      </c>
    </row>
    <row r="1290" spans="1:36" ht="15">
      <c r="A1290" t="str">
        <f>"ZCF0B3B576"</f>
        <v>ZCF0B3B576</v>
      </c>
      <c r="B1290" t="str">
        <f t="shared" si="63"/>
        <v>02406911202</v>
      </c>
      <c r="C1290" t="s">
        <v>793</v>
      </c>
      <c r="D1290" t="s">
        <v>794</v>
      </c>
      <c r="E1290" t="s">
        <v>870</v>
      </c>
      <c r="F1290" t="s">
        <v>89</v>
      </c>
      <c r="G1290" t="str">
        <f>"00291390375"</f>
        <v>00291390375</v>
      </c>
      <c r="I1290" t="s">
        <v>822</v>
      </c>
      <c r="L1290" t="s">
        <v>41</v>
      </c>
      <c r="M1290">
        <v>36309.64</v>
      </c>
      <c r="AG1290">
        <v>36309.64</v>
      </c>
      <c r="AH1290" s="1">
        <v>41512</v>
      </c>
      <c r="AI1290" s="1">
        <v>41533</v>
      </c>
      <c r="AJ1290" s="1">
        <v>41512</v>
      </c>
    </row>
    <row r="1291" spans="1:36" ht="15">
      <c r="A1291" t="str">
        <f>"ZCF0B3B576"</f>
        <v>ZCF0B3B576</v>
      </c>
      <c r="B1291" t="str">
        <f t="shared" si="63"/>
        <v>02406911202</v>
      </c>
      <c r="C1291" t="s">
        <v>793</v>
      </c>
      <c r="D1291" t="s">
        <v>794</v>
      </c>
      <c r="E1291" t="s">
        <v>870</v>
      </c>
      <c r="F1291" t="s">
        <v>89</v>
      </c>
      <c r="G1291" t="str">
        <f>"00764990370"</f>
        <v>00764990370</v>
      </c>
      <c r="I1291" t="s">
        <v>871</v>
      </c>
      <c r="L1291" t="s">
        <v>45</v>
      </c>
      <c r="AJ1291" s="1">
        <v>41512</v>
      </c>
    </row>
    <row r="1292" spans="1:36" ht="15">
      <c r="A1292" t="str">
        <f>"ZD80CCB37C"</f>
        <v>ZD80CCB37C</v>
      </c>
      <c r="B1292" t="str">
        <f t="shared" si="63"/>
        <v>02406911202</v>
      </c>
      <c r="C1292" t="s">
        <v>793</v>
      </c>
      <c r="D1292" t="s">
        <v>794</v>
      </c>
      <c r="E1292" t="s">
        <v>872</v>
      </c>
      <c r="F1292" t="s">
        <v>796</v>
      </c>
      <c r="G1292" t="str">
        <f>"02510350784"</f>
        <v>02510350784</v>
      </c>
      <c r="I1292" t="s">
        <v>834</v>
      </c>
      <c r="L1292" t="s">
        <v>41</v>
      </c>
      <c r="M1292">
        <v>12582</v>
      </c>
      <c r="AG1292">
        <v>14291</v>
      </c>
      <c r="AH1292" s="1">
        <v>41620</v>
      </c>
      <c r="AI1292" s="1">
        <v>41713</v>
      </c>
      <c r="AJ1292" s="1">
        <v>41620</v>
      </c>
    </row>
    <row r="1293" spans="1:36" ht="15">
      <c r="A1293" t="str">
        <f>"ZED0C58DB5"</f>
        <v>ZED0C58DB5</v>
      </c>
      <c r="B1293" t="str">
        <f t="shared" si="63"/>
        <v>02406911202</v>
      </c>
      <c r="C1293" t="s">
        <v>793</v>
      </c>
      <c r="D1293" t="s">
        <v>794</v>
      </c>
      <c r="E1293" t="s">
        <v>873</v>
      </c>
      <c r="F1293" t="s">
        <v>796</v>
      </c>
      <c r="G1293" t="str">
        <f>"04135500371"</f>
        <v>04135500371</v>
      </c>
      <c r="I1293" t="s">
        <v>848</v>
      </c>
      <c r="L1293" t="s">
        <v>41</v>
      </c>
      <c r="M1293">
        <v>1283.5</v>
      </c>
      <c r="AG1293">
        <v>1283.5</v>
      </c>
      <c r="AH1293" s="1">
        <v>41591</v>
      </c>
      <c r="AI1293" s="1">
        <v>41625</v>
      </c>
      <c r="AJ1293" s="1">
        <v>41591</v>
      </c>
    </row>
    <row r="1294" spans="1:36" ht="15">
      <c r="A1294" t="str">
        <f>"Z860C9F7E1"</f>
        <v>Z860C9F7E1</v>
      </c>
      <c r="B1294" t="str">
        <f t="shared" si="63"/>
        <v>02406911202</v>
      </c>
      <c r="C1294" t="s">
        <v>793</v>
      </c>
      <c r="D1294" t="s">
        <v>794</v>
      </c>
      <c r="E1294" t="s">
        <v>874</v>
      </c>
      <c r="F1294" t="s">
        <v>796</v>
      </c>
      <c r="G1294" t="str">
        <f>"03515770364"</f>
        <v>03515770364</v>
      </c>
      <c r="I1294" t="s">
        <v>875</v>
      </c>
      <c r="L1294" t="s">
        <v>41</v>
      </c>
      <c r="M1294">
        <v>2300</v>
      </c>
      <c r="AG1294">
        <v>2392</v>
      </c>
      <c r="AH1294" s="1">
        <v>41606</v>
      </c>
      <c r="AI1294" s="1">
        <v>41642</v>
      </c>
      <c r="AJ1294" s="1">
        <v>41606</v>
      </c>
    </row>
    <row r="1295" spans="1:36" ht="15">
      <c r="A1295" t="str">
        <f>"Z8C09EDC5C"</f>
        <v>Z8C09EDC5C</v>
      </c>
      <c r="B1295" t="str">
        <f t="shared" si="63"/>
        <v>02406911202</v>
      </c>
      <c r="C1295" t="s">
        <v>793</v>
      </c>
      <c r="D1295" t="s">
        <v>794</v>
      </c>
      <c r="E1295" t="s">
        <v>876</v>
      </c>
      <c r="F1295" t="s">
        <v>796</v>
      </c>
      <c r="G1295" t="str">
        <f>"02061900391"</f>
        <v>02061900391</v>
      </c>
      <c r="I1295" t="s">
        <v>877</v>
      </c>
      <c r="L1295" t="s">
        <v>41</v>
      </c>
      <c r="M1295">
        <v>3815.6</v>
      </c>
      <c r="AG1295">
        <v>3815.6</v>
      </c>
      <c r="AH1295" s="1">
        <v>41345</v>
      </c>
      <c r="AI1295" s="1">
        <v>41425</v>
      </c>
      <c r="AJ1295" s="1">
        <v>41345</v>
      </c>
    </row>
    <row r="1296" spans="1:36" ht="15">
      <c r="A1296" t="str">
        <f>"Z0608C6D86"</f>
        <v>Z0608C6D86</v>
      </c>
      <c r="B1296" t="str">
        <f t="shared" si="63"/>
        <v>02406911202</v>
      </c>
      <c r="C1296" t="s">
        <v>793</v>
      </c>
      <c r="D1296" t="s">
        <v>794</v>
      </c>
      <c r="E1296" t="s">
        <v>878</v>
      </c>
      <c r="F1296" t="s">
        <v>796</v>
      </c>
      <c r="G1296" t="str">
        <f>"01922820350"</f>
        <v>01922820350</v>
      </c>
      <c r="I1296" t="s">
        <v>879</v>
      </c>
      <c r="L1296" t="s">
        <v>41</v>
      </c>
      <c r="M1296">
        <v>3651</v>
      </c>
      <c r="AG1296">
        <v>3651</v>
      </c>
      <c r="AH1296" s="1">
        <v>41326</v>
      </c>
      <c r="AI1296" s="1">
        <v>41351</v>
      </c>
      <c r="AJ1296" s="1">
        <v>41326</v>
      </c>
    </row>
    <row r="1297" spans="1:36" ht="15">
      <c r="A1297" t="str">
        <f aca="true" t="shared" si="64" ref="A1297:A1319">"0273333984"</f>
        <v>0273333984</v>
      </c>
      <c r="B1297" t="str">
        <f t="shared" si="63"/>
        <v>02406911202</v>
      </c>
      <c r="C1297" t="s">
        <v>793</v>
      </c>
      <c r="D1297" t="s">
        <v>794</v>
      </c>
      <c r="E1297" t="s">
        <v>880</v>
      </c>
      <c r="F1297" t="s">
        <v>106</v>
      </c>
      <c r="G1297" t="str">
        <f>"00734750391"</f>
        <v>00734750391</v>
      </c>
      <c r="I1297" t="s">
        <v>881</v>
      </c>
      <c r="L1297" t="s">
        <v>41</v>
      </c>
      <c r="M1297">
        <v>141978.18</v>
      </c>
      <c r="AG1297">
        <v>147358.59</v>
      </c>
      <c r="AH1297" s="1">
        <v>41367</v>
      </c>
      <c r="AI1297" s="1">
        <v>41547</v>
      </c>
      <c r="AJ1297" s="1">
        <v>41367</v>
      </c>
    </row>
    <row r="1298" spans="1:36" ht="15">
      <c r="A1298" t="str">
        <f t="shared" si="64"/>
        <v>0273333984</v>
      </c>
      <c r="B1298" t="str">
        <f t="shared" si="63"/>
        <v>02406911202</v>
      </c>
      <c r="C1298" t="s">
        <v>793</v>
      </c>
      <c r="D1298" t="s">
        <v>794</v>
      </c>
      <c r="E1298" t="s">
        <v>880</v>
      </c>
      <c r="F1298" t="s">
        <v>106</v>
      </c>
      <c r="G1298" t="str">
        <f>"01704960358"</f>
        <v>01704960358</v>
      </c>
      <c r="I1298" t="s">
        <v>882</v>
      </c>
      <c r="L1298" t="s">
        <v>45</v>
      </c>
      <c r="AJ1298" s="1">
        <v>41367</v>
      </c>
    </row>
    <row r="1299" spans="1:36" ht="15">
      <c r="A1299" t="str">
        <f t="shared" si="64"/>
        <v>0273333984</v>
      </c>
      <c r="B1299" t="str">
        <f t="shared" si="63"/>
        <v>02406911202</v>
      </c>
      <c r="C1299" t="s">
        <v>793</v>
      </c>
      <c r="D1299" t="s">
        <v>794</v>
      </c>
      <c r="E1299" t="s">
        <v>880</v>
      </c>
      <c r="F1299" t="s">
        <v>106</v>
      </c>
      <c r="G1299" t="str">
        <f>"00368340386"</f>
        <v>00368340386</v>
      </c>
      <c r="I1299" t="s">
        <v>883</v>
      </c>
      <c r="L1299" t="s">
        <v>45</v>
      </c>
      <c r="AJ1299" s="1">
        <v>41367</v>
      </c>
    </row>
    <row r="1300" spans="1:36" ht="15">
      <c r="A1300" t="str">
        <f t="shared" si="64"/>
        <v>0273333984</v>
      </c>
      <c r="B1300" t="str">
        <f t="shared" si="63"/>
        <v>02406911202</v>
      </c>
      <c r="C1300" t="s">
        <v>793</v>
      </c>
      <c r="D1300" t="s">
        <v>794</v>
      </c>
      <c r="E1300" t="s">
        <v>880</v>
      </c>
      <c r="F1300" t="s">
        <v>106</v>
      </c>
      <c r="G1300" t="str">
        <f>"13352030152"</f>
        <v>13352030152</v>
      </c>
      <c r="I1300" t="s">
        <v>884</v>
      </c>
      <c r="L1300" t="s">
        <v>45</v>
      </c>
      <c r="AJ1300" s="1">
        <v>41367</v>
      </c>
    </row>
    <row r="1301" spans="1:36" ht="15">
      <c r="A1301" t="str">
        <f t="shared" si="64"/>
        <v>0273333984</v>
      </c>
      <c r="B1301" t="str">
        <f t="shared" si="63"/>
        <v>02406911202</v>
      </c>
      <c r="C1301" t="s">
        <v>793</v>
      </c>
      <c r="D1301" t="s">
        <v>794</v>
      </c>
      <c r="E1301" t="s">
        <v>880</v>
      </c>
      <c r="F1301" t="s">
        <v>106</v>
      </c>
      <c r="G1301" t="str">
        <f>"01911980835"</f>
        <v>01911980835</v>
      </c>
      <c r="I1301" t="s">
        <v>885</v>
      </c>
      <c r="L1301" t="s">
        <v>45</v>
      </c>
      <c r="AJ1301" s="1">
        <v>41367</v>
      </c>
    </row>
    <row r="1302" spans="1:36" ht="15">
      <c r="A1302" t="str">
        <f t="shared" si="64"/>
        <v>0273333984</v>
      </c>
      <c r="B1302" t="str">
        <f t="shared" si="63"/>
        <v>02406911202</v>
      </c>
      <c r="C1302" t="s">
        <v>793</v>
      </c>
      <c r="D1302" t="s">
        <v>794</v>
      </c>
      <c r="E1302" t="s">
        <v>880</v>
      </c>
      <c r="F1302" t="s">
        <v>106</v>
      </c>
      <c r="G1302" t="str">
        <f>"02083771200"</f>
        <v>02083771200</v>
      </c>
      <c r="I1302" t="s">
        <v>886</v>
      </c>
      <c r="L1302" t="s">
        <v>45</v>
      </c>
      <c r="AJ1302" s="1">
        <v>41367</v>
      </c>
    </row>
    <row r="1303" spans="1:36" ht="15">
      <c r="A1303" t="str">
        <f t="shared" si="64"/>
        <v>0273333984</v>
      </c>
      <c r="B1303" t="str">
        <f t="shared" si="63"/>
        <v>02406911202</v>
      </c>
      <c r="C1303" t="s">
        <v>793</v>
      </c>
      <c r="D1303" t="s">
        <v>794</v>
      </c>
      <c r="E1303" t="s">
        <v>880</v>
      </c>
      <c r="F1303" t="s">
        <v>106</v>
      </c>
      <c r="G1303" t="str">
        <f>"01666220460"</f>
        <v>01666220460</v>
      </c>
      <c r="I1303" t="s">
        <v>887</v>
      </c>
      <c r="L1303" t="s">
        <v>45</v>
      </c>
      <c r="AJ1303" s="1">
        <v>41367</v>
      </c>
    </row>
    <row r="1304" spans="1:36" ht="15">
      <c r="A1304" t="str">
        <f t="shared" si="64"/>
        <v>0273333984</v>
      </c>
      <c r="B1304" t="str">
        <f t="shared" si="63"/>
        <v>02406911202</v>
      </c>
      <c r="C1304" t="s">
        <v>793</v>
      </c>
      <c r="D1304" t="s">
        <v>794</v>
      </c>
      <c r="E1304" t="s">
        <v>880</v>
      </c>
      <c r="F1304" t="s">
        <v>106</v>
      </c>
      <c r="G1304" t="str">
        <f>"08539980584"</f>
        <v>08539980584</v>
      </c>
      <c r="I1304" t="s">
        <v>888</v>
      </c>
      <c r="L1304" t="s">
        <v>45</v>
      </c>
      <c r="AJ1304" s="1">
        <v>41367</v>
      </c>
    </row>
    <row r="1305" spans="1:36" ht="15">
      <c r="A1305" t="str">
        <f t="shared" si="64"/>
        <v>0273333984</v>
      </c>
      <c r="B1305" t="str">
        <f t="shared" si="63"/>
        <v>02406911202</v>
      </c>
      <c r="C1305" t="s">
        <v>793</v>
      </c>
      <c r="D1305" t="s">
        <v>794</v>
      </c>
      <c r="E1305" t="s">
        <v>880</v>
      </c>
      <c r="F1305" t="s">
        <v>106</v>
      </c>
      <c r="G1305" t="str">
        <f>"MRTGDU43L12C265A"</f>
        <v>MRTGDU43L12C265A</v>
      </c>
      <c r="I1305" t="s">
        <v>889</v>
      </c>
      <c r="L1305" t="s">
        <v>45</v>
      </c>
      <c r="AJ1305" s="1">
        <v>41367</v>
      </c>
    </row>
    <row r="1306" spans="1:36" ht="15">
      <c r="A1306" t="str">
        <f t="shared" si="64"/>
        <v>0273333984</v>
      </c>
      <c r="B1306" t="str">
        <f t="shared" si="63"/>
        <v>02406911202</v>
      </c>
      <c r="C1306" t="s">
        <v>793</v>
      </c>
      <c r="D1306" t="s">
        <v>794</v>
      </c>
      <c r="E1306" t="s">
        <v>880</v>
      </c>
      <c r="F1306" t="s">
        <v>106</v>
      </c>
      <c r="G1306" t="str">
        <f>"GRRLCU61C04H199N"</f>
        <v>GRRLCU61C04H199N</v>
      </c>
      <c r="I1306" t="s">
        <v>890</v>
      </c>
      <c r="L1306" t="s">
        <v>45</v>
      </c>
      <c r="AJ1306" s="1">
        <v>41367</v>
      </c>
    </row>
    <row r="1307" spans="1:36" ht="15">
      <c r="A1307" t="str">
        <f t="shared" si="64"/>
        <v>0273333984</v>
      </c>
      <c r="B1307" t="str">
        <f t="shared" si="63"/>
        <v>02406911202</v>
      </c>
      <c r="C1307" t="s">
        <v>793</v>
      </c>
      <c r="D1307" t="s">
        <v>794</v>
      </c>
      <c r="E1307" t="s">
        <v>880</v>
      </c>
      <c r="F1307" t="s">
        <v>106</v>
      </c>
      <c r="G1307" t="str">
        <f>"FNTLSU59T44Z133L"</f>
        <v>FNTLSU59T44Z133L</v>
      </c>
      <c r="I1307" t="s">
        <v>891</v>
      </c>
      <c r="L1307" t="s">
        <v>45</v>
      </c>
      <c r="AJ1307" s="1">
        <v>41367</v>
      </c>
    </row>
    <row r="1308" spans="1:36" ht="15">
      <c r="A1308" t="str">
        <f t="shared" si="64"/>
        <v>0273333984</v>
      </c>
      <c r="B1308" t="str">
        <f t="shared" si="63"/>
        <v>02406911202</v>
      </c>
      <c r="C1308" t="s">
        <v>793</v>
      </c>
      <c r="D1308" t="s">
        <v>794</v>
      </c>
      <c r="E1308" t="s">
        <v>880</v>
      </c>
      <c r="F1308" t="s">
        <v>106</v>
      </c>
      <c r="G1308" t="str">
        <f>"PZZSFN49S12A944J"</f>
        <v>PZZSFN49S12A944J</v>
      </c>
      <c r="I1308" t="s">
        <v>892</v>
      </c>
      <c r="L1308" t="s">
        <v>45</v>
      </c>
      <c r="AJ1308" s="1">
        <v>41367</v>
      </c>
    </row>
    <row r="1309" spans="1:36" ht="15">
      <c r="A1309" t="str">
        <f t="shared" si="64"/>
        <v>0273333984</v>
      </c>
      <c r="B1309" t="str">
        <f t="shared" si="63"/>
        <v>02406911202</v>
      </c>
      <c r="C1309" t="s">
        <v>793</v>
      </c>
      <c r="D1309" t="s">
        <v>794</v>
      </c>
      <c r="E1309" t="s">
        <v>880</v>
      </c>
      <c r="F1309" t="s">
        <v>106</v>
      </c>
      <c r="G1309" t="str">
        <f>"06298571214"</f>
        <v>06298571214</v>
      </c>
      <c r="I1309" t="s">
        <v>893</v>
      </c>
      <c r="L1309" t="s">
        <v>45</v>
      </c>
      <c r="AJ1309" s="1">
        <v>41367</v>
      </c>
    </row>
    <row r="1310" spans="1:36" ht="15">
      <c r="A1310" t="str">
        <f t="shared" si="64"/>
        <v>0273333984</v>
      </c>
      <c r="B1310" t="str">
        <f t="shared" si="63"/>
        <v>02406911202</v>
      </c>
      <c r="C1310" t="s">
        <v>793</v>
      </c>
      <c r="D1310" t="s">
        <v>794</v>
      </c>
      <c r="E1310" t="s">
        <v>880</v>
      </c>
      <c r="F1310" t="s">
        <v>106</v>
      </c>
      <c r="G1310" t="str">
        <f>"02197471200"</f>
        <v>02197471200</v>
      </c>
      <c r="I1310" t="s">
        <v>894</v>
      </c>
      <c r="L1310" t="s">
        <v>45</v>
      </c>
      <c r="AJ1310" s="1">
        <v>41367</v>
      </c>
    </row>
    <row r="1311" spans="1:36" ht="15">
      <c r="A1311" t="str">
        <f t="shared" si="64"/>
        <v>0273333984</v>
      </c>
      <c r="B1311" t="str">
        <f t="shared" si="63"/>
        <v>02406911202</v>
      </c>
      <c r="C1311" t="s">
        <v>793</v>
      </c>
      <c r="D1311" t="s">
        <v>794</v>
      </c>
      <c r="E1311" t="s">
        <v>880</v>
      </c>
      <c r="F1311" t="s">
        <v>106</v>
      </c>
      <c r="G1311" t="str">
        <f>"00966570418"</f>
        <v>00966570418</v>
      </c>
      <c r="I1311" t="s">
        <v>895</v>
      </c>
      <c r="L1311" t="s">
        <v>45</v>
      </c>
      <c r="AJ1311" s="1">
        <v>41367</v>
      </c>
    </row>
    <row r="1312" spans="1:36" ht="15">
      <c r="A1312" t="str">
        <f t="shared" si="64"/>
        <v>0273333984</v>
      </c>
      <c r="B1312" t="str">
        <f t="shared" si="63"/>
        <v>02406911202</v>
      </c>
      <c r="C1312" t="s">
        <v>793</v>
      </c>
      <c r="D1312" t="s">
        <v>794</v>
      </c>
      <c r="E1312" t="s">
        <v>880</v>
      </c>
      <c r="F1312" t="s">
        <v>106</v>
      </c>
      <c r="G1312" t="str">
        <f>"02046150427"</f>
        <v>02046150427</v>
      </c>
      <c r="I1312" t="s">
        <v>896</v>
      </c>
      <c r="L1312" t="s">
        <v>45</v>
      </c>
      <c r="AJ1312" s="1">
        <v>41367</v>
      </c>
    </row>
    <row r="1313" spans="1:36" ht="15">
      <c r="A1313" t="str">
        <f t="shared" si="64"/>
        <v>0273333984</v>
      </c>
      <c r="B1313" t="str">
        <f t="shared" si="63"/>
        <v>02406911202</v>
      </c>
      <c r="C1313" t="s">
        <v>793</v>
      </c>
      <c r="D1313" t="s">
        <v>794</v>
      </c>
      <c r="E1313" t="s">
        <v>880</v>
      </c>
      <c r="F1313" t="s">
        <v>106</v>
      </c>
      <c r="G1313" t="str">
        <f>"02235380264"</f>
        <v>02235380264</v>
      </c>
      <c r="I1313" t="s">
        <v>897</v>
      </c>
      <c r="L1313" t="s">
        <v>45</v>
      </c>
      <c r="AJ1313" s="1">
        <v>41367</v>
      </c>
    </row>
    <row r="1314" spans="1:36" ht="15">
      <c r="A1314" t="str">
        <f t="shared" si="64"/>
        <v>0273333984</v>
      </c>
      <c r="B1314" t="str">
        <f t="shared" si="63"/>
        <v>02406911202</v>
      </c>
      <c r="C1314" t="s">
        <v>793</v>
      </c>
      <c r="D1314" t="s">
        <v>794</v>
      </c>
      <c r="E1314" t="s">
        <v>880</v>
      </c>
      <c r="F1314" t="s">
        <v>106</v>
      </c>
      <c r="G1314" t="str">
        <f>"02839141203"</f>
        <v>02839141203</v>
      </c>
      <c r="I1314" t="s">
        <v>898</v>
      </c>
      <c r="L1314" t="s">
        <v>45</v>
      </c>
      <c r="AJ1314" s="1">
        <v>41367</v>
      </c>
    </row>
    <row r="1315" spans="1:36" ht="15">
      <c r="A1315" t="str">
        <f t="shared" si="64"/>
        <v>0273333984</v>
      </c>
      <c r="B1315" t="str">
        <f t="shared" si="63"/>
        <v>02406911202</v>
      </c>
      <c r="C1315" t="s">
        <v>793</v>
      </c>
      <c r="D1315" t="s">
        <v>794</v>
      </c>
      <c r="E1315" t="s">
        <v>880</v>
      </c>
      <c r="F1315" t="s">
        <v>106</v>
      </c>
      <c r="G1315" t="str">
        <f>"00345720361"</f>
        <v>00345720361</v>
      </c>
      <c r="I1315" t="s">
        <v>899</v>
      </c>
      <c r="L1315" t="s">
        <v>45</v>
      </c>
      <c r="AJ1315" s="1">
        <v>41367</v>
      </c>
    </row>
    <row r="1316" spans="1:36" ht="15">
      <c r="A1316" t="str">
        <f t="shared" si="64"/>
        <v>0273333984</v>
      </c>
      <c r="B1316" t="str">
        <f t="shared" si="63"/>
        <v>02406911202</v>
      </c>
      <c r="C1316" t="s">
        <v>793</v>
      </c>
      <c r="D1316" t="s">
        <v>794</v>
      </c>
      <c r="E1316" t="s">
        <v>880</v>
      </c>
      <c r="F1316" t="s">
        <v>106</v>
      </c>
      <c r="G1316" t="str">
        <f>"GZZRRT50D06A944U"</f>
        <v>GZZRRT50D06A944U</v>
      </c>
      <c r="I1316" t="s">
        <v>900</v>
      </c>
      <c r="L1316" t="s">
        <v>45</v>
      </c>
      <c r="AJ1316" s="1">
        <v>41367</v>
      </c>
    </row>
    <row r="1317" spans="1:36" ht="15">
      <c r="A1317" t="str">
        <f t="shared" si="64"/>
        <v>0273333984</v>
      </c>
      <c r="B1317" t="str">
        <f t="shared" si="63"/>
        <v>02406911202</v>
      </c>
      <c r="C1317" t="s">
        <v>793</v>
      </c>
      <c r="D1317" t="s">
        <v>794</v>
      </c>
      <c r="E1317" t="s">
        <v>880</v>
      </c>
      <c r="F1317" t="s">
        <v>106</v>
      </c>
      <c r="G1317" t="str">
        <f>"02435990367"</f>
        <v>02435990367</v>
      </c>
      <c r="I1317" t="s">
        <v>901</v>
      </c>
      <c r="L1317" t="s">
        <v>45</v>
      </c>
      <c r="AJ1317" s="1">
        <v>41367</v>
      </c>
    </row>
    <row r="1318" spans="1:36" ht="15">
      <c r="A1318" t="str">
        <f t="shared" si="64"/>
        <v>0273333984</v>
      </c>
      <c r="B1318" t="str">
        <f t="shared" si="63"/>
        <v>02406911202</v>
      </c>
      <c r="C1318" t="s">
        <v>793</v>
      </c>
      <c r="D1318" t="s">
        <v>794</v>
      </c>
      <c r="E1318" t="s">
        <v>880</v>
      </c>
      <c r="F1318" t="s">
        <v>106</v>
      </c>
      <c r="G1318" t="str">
        <f>"LNCLRT57T14H826R"</f>
        <v>LNCLRT57T14H826R</v>
      </c>
      <c r="I1318" t="s">
        <v>902</v>
      </c>
      <c r="L1318" t="s">
        <v>45</v>
      </c>
      <c r="AJ1318" s="1">
        <v>41367</v>
      </c>
    </row>
    <row r="1319" spans="1:36" ht="15">
      <c r="A1319" t="str">
        <f t="shared" si="64"/>
        <v>0273333984</v>
      </c>
      <c r="B1319" t="str">
        <f t="shared" si="63"/>
        <v>02406911202</v>
      </c>
      <c r="C1319" t="s">
        <v>793</v>
      </c>
      <c r="D1319" t="s">
        <v>794</v>
      </c>
      <c r="E1319" t="s">
        <v>880</v>
      </c>
      <c r="F1319" t="s">
        <v>106</v>
      </c>
      <c r="G1319" t="str">
        <f>"94164760483"</f>
        <v>94164760483</v>
      </c>
      <c r="I1319" t="s">
        <v>903</v>
      </c>
      <c r="L1319" t="s">
        <v>45</v>
      </c>
      <c r="AJ1319" s="1">
        <v>41367</v>
      </c>
    </row>
    <row r="1320" spans="1:36" ht="15">
      <c r="A1320" t="str">
        <f>"Z6108F4DDF"</f>
        <v>Z6108F4DDF</v>
      </c>
      <c r="B1320" t="str">
        <f t="shared" si="63"/>
        <v>02406911202</v>
      </c>
      <c r="C1320" t="s">
        <v>793</v>
      </c>
      <c r="D1320" t="s">
        <v>794</v>
      </c>
      <c r="E1320" t="s">
        <v>904</v>
      </c>
      <c r="F1320" t="s">
        <v>796</v>
      </c>
      <c r="G1320" t="str">
        <f>"02381890371"</f>
        <v>02381890371</v>
      </c>
      <c r="I1320" t="s">
        <v>905</v>
      </c>
      <c r="L1320" t="s">
        <v>41</v>
      </c>
      <c r="M1320">
        <v>17000</v>
      </c>
      <c r="AG1320">
        <v>14614.17</v>
      </c>
      <c r="AH1320" s="1">
        <v>41345</v>
      </c>
      <c r="AI1320" s="1">
        <v>41376</v>
      </c>
      <c r="AJ1320" s="1">
        <v>41345</v>
      </c>
    </row>
    <row r="1321" spans="1:36" ht="15">
      <c r="A1321" t="str">
        <f>"2620444AC9"</f>
        <v>2620444AC9</v>
      </c>
      <c r="B1321" t="str">
        <f t="shared" si="63"/>
        <v>02406911202</v>
      </c>
      <c r="C1321" t="s">
        <v>793</v>
      </c>
      <c r="D1321" t="s">
        <v>794</v>
      </c>
      <c r="E1321" t="s">
        <v>906</v>
      </c>
      <c r="F1321" t="s">
        <v>796</v>
      </c>
      <c r="G1321" t="str">
        <f>"03574360370"</f>
        <v>03574360370</v>
      </c>
      <c r="I1321" t="s">
        <v>907</v>
      </c>
      <c r="L1321" t="s">
        <v>41</v>
      </c>
      <c r="M1321">
        <v>945.19</v>
      </c>
      <c r="AG1321">
        <v>47451.13</v>
      </c>
      <c r="AH1321" s="1">
        <v>41386</v>
      </c>
      <c r="AI1321" s="1">
        <v>41425</v>
      </c>
      <c r="AJ1321" s="1">
        <v>41386</v>
      </c>
    </row>
    <row r="1322" spans="1:36" ht="15">
      <c r="A1322" t="str">
        <f>"263162281E"</f>
        <v>263162281E</v>
      </c>
      <c r="B1322" t="str">
        <f t="shared" si="63"/>
        <v>02406911202</v>
      </c>
      <c r="C1322" t="s">
        <v>793</v>
      </c>
      <c r="D1322" t="s">
        <v>794</v>
      </c>
      <c r="E1322" t="s">
        <v>908</v>
      </c>
      <c r="F1322" t="s">
        <v>796</v>
      </c>
      <c r="G1322" t="str">
        <f>"03071641207"</f>
        <v>03071641207</v>
      </c>
      <c r="I1322" t="s">
        <v>909</v>
      </c>
      <c r="L1322" t="s">
        <v>41</v>
      </c>
      <c r="M1322">
        <v>15380</v>
      </c>
      <c r="AG1322">
        <v>0</v>
      </c>
      <c r="AH1322" s="1">
        <v>41416</v>
      </c>
      <c r="AI1322" s="1">
        <v>41425</v>
      </c>
      <c r="AJ1322" s="1">
        <v>41416</v>
      </c>
    </row>
    <row r="1323" spans="1:36" ht="15">
      <c r="A1323" t="str">
        <f>"263162881E"</f>
        <v>263162881E</v>
      </c>
      <c r="B1323" t="str">
        <f t="shared" si="63"/>
        <v>02406911202</v>
      </c>
      <c r="C1323" t="s">
        <v>793</v>
      </c>
      <c r="D1323" t="s">
        <v>794</v>
      </c>
      <c r="E1323" t="s">
        <v>910</v>
      </c>
      <c r="F1323" t="s">
        <v>796</v>
      </c>
      <c r="G1323" t="str">
        <f>"04338740378"</f>
        <v>04338740378</v>
      </c>
      <c r="I1323" t="s">
        <v>911</v>
      </c>
      <c r="L1323" t="s">
        <v>41</v>
      </c>
      <c r="M1323">
        <v>2850</v>
      </c>
      <c r="AG1323">
        <v>52218.89</v>
      </c>
      <c r="AH1323" s="1">
        <v>41547</v>
      </c>
      <c r="AI1323" s="1">
        <v>41572</v>
      </c>
      <c r="AJ1323" s="1">
        <v>41547</v>
      </c>
    </row>
    <row r="1324" spans="1:36" ht="15">
      <c r="A1324" t="str">
        <f>"Z260CFA392"</f>
        <v>Z260CFA392</v>
      </c>
      <c r="B1324" t="str">
        <f t="shared" si="63"/>
        <v>02406911202</v>
      </c>
      <c r="C1324" t="s">
        <v>793</v>
      </c>
      <c r="D1324" t="s">
        <v>794</v>
      </c>
      <c r="E1324" t="s">
        <v>912</v>
      </c>
      <c r="F1324" t="s">
        <v>796</v>
      </c>
      <c r="G1324" t="str">
        <f>"TNRDNT58A08E243I"</f>
        <v>TNRDNT58A08E243I</v>
      </c>
      <c r="I1324" t="s">
        <v>841</v>
      </c>
      <c r="L1324" t="s">
        <v>41</v>
      </c>
      <c r="M1324">
        <v>2553</v>
      </c>
      <c r="AG1324">
        <v>2553</v>
      </c>
      <c r="AH1324" s="1">
        <v>41575</v>
      </c>
      <c r="AI1324" s="1">
        <v>41624</v>
      </c>
      <c r="AJ1324" s="1">
        <v>41575</v>
      </c>
    </row>
    <row r="1325" spans="1:36" ht="15">
      <c r="A1325" t="str">
        <f>"Z220D60EBD"</f>
        <v>Z220D60EBD</v>
      </c>
      <c r="B1325" t="str">
        <f t="shared" si="63"/>
        <v>02406911202</v>
      </c>
      <c r="C1325" t="s">
        <v>793</v>
      </c>
      <c r="D1325" t="s">
        <v>794</v>
      </c>
      <c r="E1325" t="s">
        <v>913</v>
      </c>
      <c r="F1325" t="s">
        <v>796</v>
      </c>
      <c r="G1325" t="str">
        <f>"01383340385"</f>
        <v>01383340385</v>
      </c>
      <c r="I1325" t="s">
        <v>799</v>
      </c>
      <c r="L1325" t="s">
        <v>41</v>
      </c>
      <c r="M1325">
        <v>38675</v>
      </c>
      <c r="AG1325">
        <v>0</v>
      </c>
      <c r="AH1325" s="1">
        <v>41456</v>
      </c>
      <c r="AI1325" s="1">
        <v>41670</v>
      </c>
      <c r="AJ1325" s="1">
        <v>41456</v>
      </c>
    </row>
    <row r="1326" spans="1:36" ht="15">
      <c r="A1326" t="str">
        <f>"49901409CA"</f>
        <v>49901409CA</v>
      </c>
      <c r="B1326" t="str">
        <f t="shared" si="63"/>
        <v>02406911202</v>
      </c>
      <c r="C1326" t="s">
        <v>793</v>
      </c>
      <c r="D1326" t="s">
        <v>794</v>
      </c>
      <c r="E1326" t="s">
        <v>914</v>
      </c>
      <c r="F1326" t="s">
        <v>39</v>
      </c>
      <c r="G1326" t="str">
        <f>"03609840370"</f>
        <v>03609840370</v>
      </c>
      <c r="I1326" t="s">
        <v>915</v>
      </c>
      <c r="L1326" t="s">
        <v>41</v>
      </c>
      <c r="M1326">
        <v>12946077.31</v>
      </c>
      <c r="AG1326">
        <v>8676275.16</v>
      </c>
      <c r="AH1326" s="1">
        <v>41458</v>
      </c>
      <c r="AI1326" s="1">
        <v>43283</v>
      </c>
      <c r="AJ1326" s="1">
        <v>41458</v>
      </c>
    </row>
    <row r="1327" spans="1:36" ht="15">
      <c r="A1327" t="str">
        <f aca="true" t="shared" si="65" ref="A1327:A1336">"0481067D08"</f>
        <v>0481067D08</v>
      </c>
      <c r="B1327" t="str">
        <f t="shared" si="63"/>
        <v>02406911202</v>
      </c>
      <c r="C1327" t="s">
        <v>793</v>
      </c>
      <c r="D1327" t="s">
        <v>794</v>
      </c>
      <c r="E1327" t="s">
        <v>916</v>
      </c>
      <c r="F1327" t="s">
        <v>106</v>
      </c>
      <c r="G1327" t="str">
        <f>"ZNGGRL47C30C704Z"</f>
        <v>ZNGGRL47C30C704Z</v>
      </c>
      <c r="I1327" t="s">
        <v>917</v>
      </c>
      <c r="L1327" t="s">
        <v>41</v>
      </c>
      <c r="M1327">
        <v>568206.9</v>
      </c>
      <c r="AG1327">
        <v>800978.02</v>
      </c>
      <c r="AH1327" s="1">
        <v>41564</v>
      </c>
      <c r="AI1327" s="1">
        <v>41776</v>
      </c>
      <c r="AJ1327" s="1">
        <v>41564</v>
      </c>
    </row>
    <row r="1328" spans="1:36" ht="15">
      <c r="A1328" t="str">
        <f t="shared" si="65"/>
        <v>0481067D08</v>
      </c>
      <c r="B1328" t="str">
        <f t="shared" si="63"/>
        <v>02406911202</v>
      </c>
      <c r="C1328" t="s">
        <v>793</v>
      </c>
      <c r="D1328" t="s">
        <v>794</v>
      </c>
      <c r="E1328" t="s">
        <v>916</v>
      </c>
      <c r="F1328" t="s">
        <v>106</v>
      </c>
      <c r="G1328" t="str">
        <f>"03100790249"</f>
        <v>03100790249</v>
      </c>
      <c r="I1328" t="s">
        <v>918</v>
      </c>
      <c r="L1328" t="s">
        <v>45</v>
      </c>
      <c r="AJ1328" s="1">
        <v>41564</v>
      </c>
    </row>
    <row r="1329" spans="1:36" ht="15">
      <c r="A1329" t="str">
        <f t="shared" si="65"/>
        <v>0481067D08</v>
      </c>
      <c r="B1329" t="str">
        <f t="shared" si="63"/>
        <v>02406911202</v>
      </c>
      <c r="C1329" t="s">
        <v>793</v>
      </c>
      <c r="D1329" t="s">
        <v>794</v>
      </c>
      <c r="E1329" t="s">
        <v>916</v>
      </c>
      <c r="F1329" t="s">
        <v>106</v>
      </c>
      <c r="G1329" t="str">
        <f>"02561620283"</f>
        <v>02561620283</v>
      </c>
      <c r="I1329" t="s">
        <v>919</v>
      </c>
      <c r="L1329" t="s">
        <v>45</v>
      </c>
      <c r="AJ1329" s="1">
        <v>41564</v>
      </c>
    </row>
    <row r="1330" spans="1:36" ht="15">
      <c r="A1330" t="str">
        <f t="shared" si="65"/>
        <v>0481067D08</v>
      </c>
      <c r="B1330" t="str">
        <f t="shared" si="63"/>
        <v>02406911202</v>
      </c>
      <c r="C1330" t="s">
        <v>793</v>
      </c>
      <c r="D1330" t="s">
        <v>794</v>
      </c>
      <c r="E1330" t="s">
        <v>916</v>
      </c>
      <c r="F1330" t="s">
        <v>106</v>
      </c>
      <c r="G1330" t="str">
        <f>"01123220079"</f>
        <v>01123220079</v>
      </c>
      <c r="I1330" t="s">
        <v>920</v>
      </c>
      <c r="L1330" t="s">
        <v>45</v>
      </c>
      <c r="AJ1330" s="1">
        <v>41564</v>
      </c>
    </row>
    <row r="1331" spans="1:36" ht="15">
      <c r="A1331" t="str">
        <f t="shared" si="65"/>
        <v>0481067D08</v>
      </c>
      <c r="B1331" t="str">
        <f t="shared" si="63"/>
        <v>02406911202</v>
      </c>
      <c r="C1331" t="s">
        <v>793</v>
      </c>
      <c r="D1331" t="s">
        <v>794</v>
      </c>
      <c r="E1331" t="s">
        <v>916</v>
      </c>
      <c r="F1331" t="s">
        <v>106</v>
      </c>
      <c r="G1331" t="str">
        <f>"01344760994"</f>
        <v>01344760994</v>
      </c>
      <c r="I1331" t="s">
        <v>921</v>
      </c>
      <c r="L1331" t="s">
        <v>45</v>
      </c>
      <c r="AJ1331" s="1">
        <v>41564</v>
      </c>
    </row>
    <row r="1332" spans="1:36" ht="15">
      <c r="A1332" t="str">
        <f t="shared" si="65"/>
        <v>0481067D08</v>
      </c>
      <c r="B1332" t="str">
        <f t="shared" si="63"/>
        <v>02406911202</v>
      </c>
      <c r="C1332" t="s">
        <v>793</v>
      </c>
      <c r="D1332" t="s">
        <v>794</v>
      </c>
      <c r="E1332" t="s">
        <v>916</v>
      </c>
      <c r="F1332" t="s">
        <v>106</v>
      </c>
      <c r="G1332" t="str">
        <f>"00345720361"</f>
        <v>00345720361</v>
      </c>
      <c r="I1332" t="s">
        <v>899</v>
      </c>
      <c r="L1332" t="s">
        <v>45</v>
      </c>
      <c r="AJ1332" s="1">
        <v>41564</v>
      </c>
    </row>
    <row r="1333" spans="1:36" ht="15">
      <c r="A1333" t="str">
        <f t="shared" si="65"/>
        <v>0481067D08</v>
      </c>
      <c r="B1333" t="str">
        <f t="shared" si="63"/>
        <v>02406911202</v>
      </c>
      <c r="C1333" t="s">
        <v>793</v>
      </c>
      <c r="D1333" t="s">
        <v>794</v>
      </c>
      <c r="E1333" t="s">
        <v>916</v>
      </c>
      <c r="F1333" t="s">
        <v>106</v>
      </c>
      <c r="G1333" t="str">
        <f>"PLCGNN41B11A944Z"</f>
        <v>PLCGNN41B11A944Z</v>
      </c>
      <c r="I1333" t="s">
        <v>922</v>
      </c>
      <c r="L1333" t="s">
        <v>45</v>
      </c>
      <c r="AJ1333" s="1">
        <v>41564</v>
      </c>
    </row>
    <row r="1334" spans="1:36" ht="15">
      <c r="A1334" t="str">
        <f t="shared" si="65"/>
        <v>0481067D08</v>
      </c>
      <c r="B1334" t="str">
        <f t="shared" si="63"/>
        <v>02406911202</v>
      </c>
      <c r="C1334" t="s">
        <v>793</v>
      </c>
      <c r="D1334" t="s">
        <v>794</v>
      </c>
      <c r="E1334" t="s">
        <v>916</v>
      </c>
      <c r="F1334" t="s">
        <v>106</v>
      </c>
      <c r="G1334" t="str">
        <f>"FMELNS66T07L063E"</f>
        <v>FMELNS66T07L063E</v>
      </c>
      <c r="I1334" t="s">
        <v>923</v>
      </c>
      <c r="L1334" t="s">
        <v>45</v>
      </c>
      <c r="AJ1334" s="1">
        <v>41564</v>
      </c>
    </row>
    <row r="1335" spans="1:36" ht="15">
      <c r="A1335" t="str">
        <f t="shared" si="65"/>
        <v>0481067D08</v>
      </c>
      <c r="B1335" t="str">
        <f t="shared" si="63"/>
        <v>02406911202</v>
      </c>
      <c r="C1335" t="s">
        <v>793</v>
      </c>
      <c r="D1335" t="s">
        <v>794</v>
      </c>
      <c r="E1335" t="s">
        <v>916</v>
      </c>
      <c r="F1335" t="s">
        <v>106</v>
      </c>
      <c r="G1335" t="str">
        <f>"02409150352"</f>
        <v>02409150352</v>
      </c>
      <c r="I1335" t="s">
        <v>924</v>
      </c>
      <c r="L1335" t="s">
        <v>45</v>
      </c>
      <c r="AJ1335" s="1">
        <v>41564</v>
      </c>
    </row>
    <row r="1336" spans="1:36" ht="15">
      <c r="A1336" t="str">
        <f t="shared" si="65"/>
        <v>0481067D08</v>
      </c>
      <c r="B1336" t="str">
        <f t="shared" si="63"/>
        <v>02406911202</v>
      </c>
      <c r="C1336" t="s">
        <v>793</v>
      </c>
      <c r="D1336" t="s">
        <v>794</v>
      </c>
      <c r="E1336" t="s">
        <v>916</v>
      </c>
      <c r="F1336" t="s">
        <v>106</v>
      </c>
      <c r="G1336" t="str">
        <f>"02776790541"</f>
        <v>02776790541</v>
      </c>
      <c r="I1336" t="s">
        <v>925</v>
      </c>
      <c r="L1336" t="s">
        <v>45</v>
      </c>
      <c r="AJ1336" s="1">
        <v>41564</v>
      </c>
    </row>
    <row r="1337" spans="1:36" ht="15">
      <c r="A1337" t="str">
        <f>"ZBE0B46549"</f>
        <v>ZBE0B46549</v>
      </c>
      <c r="B1337" t="str">
        <f t="shared" si="63"/>
        <v>02406911202</v>
      </c>
      <c r="C1337" t="s">
        <v>793</v>
      </c>
      <c r="D1337" t="s">
        <v>794</v>
      </c>
      <c r="E1337" t="s">
        <v>926</v>
      </c>
      <c r="F1337" t="s">
        <v>796</v>
      </c>
      <c r="G1337" t="str">
        <f>"03071641207"</f>
        <v>03071641207</v>
      </c>
      <c r="I1337" t="s">
        <v>909</v>
      </c>
      <c r="L1337" t="s">
        <v>41</v>
      </c>
      <c r="M1337">
        <v>11928.77</v>
      </c>
      <c r="AG1337">
        <v>0</v>
      </c>
      <c r="AH1337" s="1">
        <v>41458</v>
      </c>
      <c r="AI1337" s="1">
        <v>41578</v>
      </c>
      <c r="AJ1337" s="1">
        <v>41458</v>
      </c>
    </row>
    <row r="1338" spans="1:36" ht="15">
      <c r="A1338" t="str">
        <f>"ZA8093E5F6"</f>
        <v>ZA8093E5F6</v>
      </c>
      <c r="B1338" t="str">
        <f t="shared" si="63"/>
        <v>02406911202</v>
      </c>
      <c r="C1338" t="s">
        <v>793</v>
      </c>
      <c r="D1338" t="s">
        <v>794</v>
      </c>
      <c r="E1338" t="s">
        <v>927</v>
      </c>
      <c r="F1338" t="s">
        <v>796</v>
      </c>
      <c r="G1338" t="str">
        <f>"03703610372"</f>
        <v>03703610372</v>
      </c>
      <c r="I1338" t="s">
        <v>797</v>
      </c>
      <c r="L1338" t="s">
        <v>41</v>
      </c>
      <c r="M1338">
        <v>31980</v>
      </c>
      <c r="AG1338">
        <v>56172</v>
      </c>
      <c r="AH1338" s="1">
        <v>41358</v>
      </c>
      <c r="AI1338" s="1">
        <v>41547</v>
      </c>
      <c r="AJ1338" s="1">
        <v>41358</v>
      </c>
    </row>
    <row r="1339" spans="1:36" ht="15">
      <c r="A1339" t="str">
        <f>"ZD20C53412"</f>
        <v>ZD20C53412</v>
      </c>
      <c r="B1339" t="str">
        <f t="shared" si="63"/>
        <v>02406911202</v>
      </c>
      <c r="C1339" t="s">
        <v>793</v>
      </c>
      <c r="D1339" t="s">
        <v>794</v>
      </c>
      <c r="E1339" t="s">
        <v>928</v>
      </c>
      <c r="F1339" t="s">
        <v>796</v>
      </c>
      <c r="G1339" t="str">
        <f>"03515770364"</f>
        <v>03515770364</v>
      </c>
      <c r="I1339" t="s">
        <v>875</v>
      </c>
      <c r="L1339" t="s">
        <v>41</v>
      </c>
      <c r="M1339">
        <v>4800</v>
      </c>
      <c r="AG1339">
        <v>4992</v>
      </c>
      <c r="AH1339" s="1">
        <v>41590</v>
      </c>
      <c r="AI1339" s="1">
        <v>41621</v>
      </c>
      <c r="AJ1339" s="1">
        <v>41590</v>
      </c>
    </row>
    <row r="1340" spans="1:36" ht="15">
      <c r="A1340" t="str">
        <f>"Z080D19859"</f>
        <v>Z080D19859</v>
      </c>
      <c r="B1340" t="str">
        <f t="shared" si="63"/>
        <v>02406911202</v>
      </c>
      <c r="C1340" t="s">
        <v>793</v>
      </c>
      <c r="D1340" t="s">
        <v>794</v>
      </c>
      <c r="E1340" t="s">
        <v>929</v>
      </c>
      <c r="F1340" t="s">
        <v>796</v>
      </c>
      <c r="G1340" t="str">
        <f>"05016170630"</f>
        <v>05016170630</v>
      </c>
      <c r="I1340" t="s">
        <v>826</v>
      </c>
      <c r="L1340" t="s">
        <v>41</v>
      </c>
      <c r="M1340">
        <v>7650</v>
      </c>
      <c r="AG1340">
        <v>10530</v>
      </c>
      <c r="AH1340" s="1">
        <v>41632</v>
      </c>
      <c r="AI1340" s="1">
        <v>41689</v>
      </c>
      <c r="AJ1340" s="1">
        <v>41632</v>
      </c>
    </row>
    <row r="1341" spans="1:36" ht="15">
      <c r="A1341" t="str">
        <f>"Z010915B05"</f>
        <v>Z010915B05</v>
      </c>
      <c r="B1341" t="str">
        <f t="shared" si="63"/>
        <v>02406911202</v>
      </c>
      <c r="C1341" t="s">
        <v>13</v>
      </c>
      <c r="D1341" t="s">
        <v>930</v>
      </c>
      <c r="E1341" t="s">
        <v>931</v>
      </c>
      <c r="F1341" t="s">
        <v>796</v>
      </c>
      <c r="G1341" t="str">
        <f>"04311080370"</f>
        <v>04311080370</v>
      </c>
      <c r="I1341" t="s">
        <v>932</v>
      </c>
      <c r="L1341" t="s">
        <v>41</v>
      </c>
      <c r="M1341">
        <v>2000</v>
      </c>
      <c r="AG1341">
        <v>2850</v>
      </c>
      <c r="AH1341" s="1">
        <v>41346</v>
      </c>
      <c r="AI1341" s="1">
        <v>42336</v>
      </c>
      <c r="AJ1341" s="1">
        <v>41346</v>
      </c>
    </row>
    <row r="1342" spans="1:36" ht="15">
      <c r="A1342" t="str">
        <f>"Z050A9E5F6"</f>
        <v>Z050A9E5F6</v>
      </c>
      <c r="B1342" t="str">
        <f t="shared" si="63"/>
        <v>02406911202</v>
      </c>
      <c r="C1342" t="s">
        <v>13</v>
      </c>
      <c r="D1342" t="s">
        <v>930</v>
      </c>
      <c r="E1342" t="s">
        <v>933</v>
      </c>
      <c r="F1342" t="s">
        <v>796</v>
      </c>
      <c r="G1342" t="str">
        <f>"12384150152"</f>
        <v>12384150152</v>
      </c>
      <c r="I1342" t="s">
        <v>585</v>
      </c>
      <c r="L1342" t="s">
        <v>41</v>
      </c>
      <c r="M1342">
        <v>2000</v>
      </c>
      <c r="AG1342">
        <v>1640</v>
      </c>
      <c r="AH1342" s="1">
        <v>41457</v>
      </c>
      <c r="AI1342" s="1">
        <v>42028</v>
      </c>
      <c r="AJ1342" s="1">
        <v>41457</v>
      </c>
    </row>
    <row r="1343" spans="1:36" ht="15">
      <c r="A1343" t="str">
        <f>"Z0E09D538C"</f>
        <v>Z0E09D538C</v>
      </c>
      <c r="B1343" t="str">
        <f t="shared" si="63"/>
        <v>02406911202</v>
      </c>
      <c r="C1343" t="s">
        <v>13</v>
      </c>
      <c r="D1343" t="s">
        <v>930</v>
      </c>
      <c r="E1343" t="s">
        <v>934</v>
      </c>
      <c r="F1343" t="s">
        <v>796</v>
      </c>
      <c r="G1343" t="str">
        <f>"02373581202"</f>
        <v>02373581202</v>
      </c>
      <c r="I1343" t="s">
        <v>165</v>
      </c>
      <c r="L1343" t="s">
        <v>41</v>
      </c>
      <c r="M1343">
        <v>10000</v>
      </c>
      <c r="AG1343">
        <v>7502.79</v>
      </c>
      <c r="AH1343" s="1">
        <v>41403</v>
      </c>
      <c r="AI1343" s="1">
        <v>42293</v>
      </c>
      <c r="AJ1343" s="1">
        <v>41403</v>
      </c>
    </row>
    <row r="1344" spans="1:36" ht="15">
      <c r="A1344" t="str">
        <f>"Z130B3B7BC"</f>
        <v>Z130B3B7BC</v>
      </c>
      <c r="B1344" t="str">
        <f t="shared" si="63"/>
        <v>02406911202</v>
      </c>
      <c r="C1344" t="s">
        <v>13</v>
      </c>
      <c r="D1344" t="s">
        <v>930</v>
      </c>
      <c r="E1344" t="s">
        <v>935</v>
      </c>
      <c r="F1344" t="s">
        <v>796</v>
      </c>
      <c r="G1344" t="str">
        <f>"03362950960"</f>
        <v>03362950960</v>
      </c>
      <c r="I1344" t="s">
        <v>609</v>
      </c>
      <c r="L1344" t="s">
        <v>41</v>
      </c>
      <c r="M1344">
        <v>19900</v>
      </c>
      <c r="AG1344">
        <v>18757.34</v>
      </c>
      <c r="AH1344" s="1">
        <v>41507</v>
      </c>
      <c r="AI1344" s="1">
        <v>42154</v>
      </c>
      <c r="AJ1344" s="1">
        <v>41507</v>
      </c>
    </row>
    <row r="1345" spans="1:36" ht="15">
      <c r="A1345" t="str">
        <f>"Z150A90EA6"</f>
        <v>Z150A90EA6</v>
      </c>
      <c r="B1345" t="str">
        <f t="shared" si="63"/>
        <v>02406911202</v>
      </c>
      <c r="C1345" t="s">
        <v>13</v>
      </c>
      <c r="D1345" t="s">
        <v>930</v>
      </c>
      <c r="E1345" t="s">
        <v>936</v>
      </c>
      <c r="F1345" t="s">
        <v>796</v>
      </c>
      <c r="G1345" t="str">
        <f>"04327730018"</f>
        <v>04327730018</v>
      </c>
      <c r="I1345" t="s">
        <v>937</v>
      </c>
      <c r="L1345" t="s">
        <v>41</v>
      </c>
      <c r="M1345">
        <v>19900</v>
      </c>
      <c r="AG1345">
        <v>20139.91</v>
      </c>
      <c r="AH1345" s="1">
        <v>41452</v>
      </c>
      <c r="AI1345" s="1">
        <v>42343</v>
      </c>
      <c r="AJ1345" s="1">
        <v>41452</v>
      </c>
    </row>
    <row r="1346" spans="1:36" ht="15">
      <c r="A1346" t="str">
        <f>"Z3A0A5628C"</f>
        <v>Z3A0A5628C</v>
      </c>
      <c r="B1346" t="str">
        <f aca="true" t="shared" si="66" ref="B1346:B1409">"02406911202"</f>
        <v>02406911202</v>
      </c>
      <c r="C1346" t="s">
        <v>13</v>
      </c>
      <c r="D1346" t="s">
        <v>930</v>
      </c>
      <c r="E1346" t="s">
        <v>938</v>
      </c>
      <c r="F1346" t="s">
        <v>796</v>
      </c>
      <c r="G1346" t="str">
        <f>"01847860309"</f>
        <v>01847860309</v>
      </c>
      <c r="I1346" t="s">
        <v>939</v>
      </c>
      <c r="L1346" t="s">
        <v>41</v>
      </c>
      <c r="M1346">
        <v>10000</v>
      </c>
      <c r="AG1346">
        <v>8632</v>
      </c>
      <c r="AH1346" s="1">
        <v>41436</v>
      </c>
      <c r="AI1346" s="1">
        <v>42027</v>
      </c>
      <c r="AJ1346" s="1">
        <v>41436</v>
      </c>
    </row>
    <row r="1347" spans="1:36" ht="15">
      <c r="A1347" t="str">
        <f>"Z420C60B33"</f>
        <v>Z420C60B33</v>
      </c>
      <c r="B1347" t="str">
        <f t="shared" si="66"/>
        <v>02406911202</v>
      </c>
      <c r="C1347" t="s">
        <v>13</v>
      </c>
      <c r="D1347" t="s">
        <v>930</v>
      </c>
      <c r="E1347" t="s">
        <v>940</v>
      </c>
      <c r="F1347" t="s">
        <v>796</v>
      </c>
      <c r="G1347" t="str">
        <f>"04251280378"</f>
        <v>04251280378</v>
      </c>
      <c r="I1347" t="s">
        <v>612</v>
      </c>
      <c r="L1347" t="s">
        <v>41</v>
      </c>
      <c r="M1347">
        <v>1000</v>
      </c>
      <c r="AG1347">
        <v>996</v>
      </c>
      <c r="AH1347" s="1">
        <v>41592</v>
      </c>
      <c r="AI1347" s="1">
        <v>42065</v>
      </c>
      <c r="AJ1347" s="1">
        <v>41592</v>
      </c>
    </row>
    <row r="1348" spans="1:36" ht="15">
      <c r="A1348" t="str">
        <f>"Z4708C9E6B"</f>
        <v>Z4708C9E6B</v>
      </c>
      <c r="B1348" t="str">
        <f t="shared" si="66"/>
        <v>02406911202</v>
      </c>
      <c r="C1348" t="s">
        <v>13</v>
      </c>
      <c r="D1348" t="s">
        <v>930</v>
      </c>
      <c r="E1348" t="s">
        <v>941</v>
      </c>
      <c r="F1348" t="s">
        <v>796</v>
      </c>
      <c r="G1348" t="str">
        <f>"00421250481"</f>
        <v>00421250481</v>
      </c>
      <c r="I1348" t="s">
        <v>942</v>
      </c>
      <c r="L1348" t="s">
        <v>41</v>
      </c>
      <c r="M1348">
        <v>19900</v>
      </c>
      <c r="AG1348">
        <v>18556.5</v>
      </c>
      <c r="AH1348" s="1">
        <v>41326</v>
      </c>
      <c r="AI1348" s="1">
        <v>42320</v>
      </c>
      <c r="AJ1348" s="1">
        <v>41326</v>
      </c>
    </row>
    <row r="1349" spans="1:36" ht="15">
      <c r="A1349" t="str">
        <f>"Z4809AC09E"</f>
        <v>Z4809AC09E</v>
      </c>
      <c r="B1349" t="str">
        <f t="shared" si="66"/>
        <v>02406911202</v>
      </c>
      <c r="C1349" t="s">
        <v>13</v>
      </c>
      <c r="D1349" t="s">
        <v>930</v>
      </c>
      <c r="E1349" t="s">
        <v>943</v>
      </c>
      <c r="F1349" t="s">
        <v>796</v>
      </c>
      <c r="G1349" t="str">
        <f>"08452100962"</f>
        <v>08452100962</v>
      </c>
      <c r="I1349" t="s">
        <v>944</v>
      </c>
      <c r="L1349" t="s">
        <v>41</v>
      </c>
      <c r="M1349">
        <v>1000</v>
      </c>
      <c r="AG1349">
        <v>1097.25</v>
      </c>
      <c r="AH1349" s="1">
        <v>41390</v>
      </c>
      <c r="AI1349" s="1">
        <v>42092</v>
      </c>
      <c r="AJ1349" s="1">
        <v>41390</v>
      </c>
    </row>
    <row r="1350" spans="1:36" ht="15">
      <c r="A1350" t="str">
        <f>"Z4A0C87517"</f>
        <v>Z4A0C87517</v>
      </c>
      <c r="B1350" t="str">
        <f t="shared" si="66"/>
        <v>02406911202</v>
      </c>
      <c r="C1350" t="s">
        <v>13</v>
      </c>
      <c r="D1350" t="s">
        <v>930</v>
      </c>
      <c r="E1350" t="s">
        <v>935</v>
      </c>
      <c r="F1350" t="s">
        <v>796</v>
      </c>
      <c r="G1350" t="str">
        <f>"04130500376"</f>
        <v>04130500376</v>
      </c>
      <c r="I1350" t="s">
        <v>945</v>
      </c>
      <c r="L1350" t="s">
        <v>41</v>
      </c>
      <c r="M1350">
        <v>19900</v>
      </c>
      <c r="AG1350">
        <v>11391.38</v>
      </c>
      <c r="AH1350" s="1">
        <v>41603</v>
      </c>
      <c r="AI1350" s="1">
        <v>42071</v>
      </c>
      <c r="AJ1350" s="1">
        <v>41603</v>
      </c>
    </row>
    <row r="1351" spans="1:36" ht="15">
      <c r="A1351" t="str">
        <f>"Z580CC457D"</f>
        <v>Z580CC457D</v>
      </c>
      <c r="B1351" t="str">
        <f t="shared" si="66"/>
        <v>02406911202</v>
      </c>
      <c r="C1351" t="s">
        <v>13</v>
      </c>
      <c r="D1351" t="s">
        <v>930</v>
      </c>
      <c r="E1351" t="s">
        <v>946</v>
      </c>
      <c r="F1351" t="s">
        <v>796</v>
      </c>
      <c r="G1351" t="str">
        <f>"02008340016"</f>
        <v>02008340016</v>
      </c>
      <c r="I1351" t="s">
        <v>947</v>
      </c>
      <c r="L1351" t="s">
        <v>41</v>
      </c>
      <c r="M1351">
        <v>5000</v>
      </c>
      <c r="AG1351">
        <v>3807</v>
      </c>
      <c r="AH1351" s="1">
        <v>41615</v>
      </c>
      <c r="AI1351" s="1">
        <v>42103</v>
      </c>
      <c r="AJ1351" s="1">
        <v>41615</v>
      </c>
    </row>
    <row r="1352" spans="1:36" ht="15">
      <c r="A1352" t="str">
        <f>"Z5B0C6A407"</f>
        <v>Z5B0C6A407</v>
      </c>
      <c r="B1352" t="str">
        <f t="shared" si="66"/>
        <v>02406911202</v>
      </c>
      <c r="C1352" t="s">
        <v>13</v>
      </c>
      <c r="D1352" t="s">
        <v>930</v>
      </c>
      <c r="E1352" t="s">
        <v>948</v>
      </c>
      <c r="F1352" t="s">
        <v>796</v>
      </c>
      <c r="G1352" t="str">
        <f>"05233560969"</f>
        <v>05233560969</v>
      </c>
      <c r="I1352" t="s">
        <v>949</v>
      </c>
      <c r="L1352" t="s">
        <v>41</v>
      </c>
      <c r="M1352">
        <v>3000</v>
      </c>
      <c r="AG1352">
        <v>2988</v>
      </c>
      <c r="AH1352" s="1">
        <v>41593</v>
      </c>
      <c r="AI1352" s="1">
        <v>42295</v>
      </c>
      <c r="AJ1352" s="1">
        <v>41593</v>
      </c>
    </row>
    <row r="1353" spans="1:36" ht="15">
      <c r="A1353" t="str">
        <f>"Z5F0C4EDDB"</f>
        <v>Z5F0C4EDDB</v>
      </c>
      <c r="B1353" t="str">
        <f t="shared" si="66"/>
        <v>02406911202</v>
      </c>
      <c r="C1353" t="s">
        <v>13</v>
      </c>
      <c r="D1353" t="s">
        <v>930</v>
      </c>
      <c r="E1353" t="s">
        <v>950</v>
      </c>
      <c r="F1353" t="s">
        <v>796</v>
      </c>
      <c r="G1353" t="str">
        <f>"01670070380"</f>
        <v>01670070380</v>
      </c>
      <c r="I1353" t="s">
        <v>951</v>
      </c>
      <c r="L1353" t="s">
        <v>41</v>
      </c>
      <c r="M1353">
        <v>19900</v>
      </c>
      <c r="AG1353">
        <v>5730.09</v>
      </c>
      <c r="AH1353" s="1">
        <v>41585</v>
      </c>
      <c r="AI1353" s="1">
        <v>42194</v>
      </c>
      <c r="AJ1353" s="1">
        <v>41585</v>
      </c>
    </row>
    <row r="1354" spans="1:36" ht="15">
      <c r="A1354" t="str">
        <f>"Z66091057D"</f>
        <v>Z66091057D</v>
      </c>
      <c r="B1354" t="str">
        <f t="shared" si="66"/>
        <v>02406911202</v>
      </c>
      <c r="C1354" t="s">
        <v>13</v>
      </c>
      <c r="D1354" t="s">
        <v>930</v>
      </c>
      <c r="E1354" t="s">
        <v>935</v>
      </c>
      <c r="F1354" t="s">
        <v>796</v>
      </c>
      <c r="G1354" t="str">
        <f>"04583680287"</f>
        <v>04583680287</v>
      </c>
      <c r="I1354" t="s">
        <v>952</v>
      </c>
      <c r="L1354" t="s">
        <v>41</v>
      </c>
      <c r="M1354">
        <v>19900</v>
      </c>
      <c r="AG1354">
        <v>14085</v>
      </c>
      <c r="AH1354" s="1">
        <v>41345</v>
      </c>
      <c r="AI1354" s="1">
        <v>42323</v>
      </c>
      <c r="AJ1354" s="1">
        <v>41345</v>
      </c>
    </row>
    <row r="1355" spans="1:36" ht="15">
      <c r="A1355" t="str">
        <f>"Z670C45905"</f>
        <v>Z670C45905</v>
      </c>
      <c r="B1355" t="str">
        <f t="shared" si="66"/>
        <v>02406911202</v>
      </c>
      <c r="C1355" t="s">
        <v>13</v>
      </c>
      <c r="D1355" t="s">
        <v>930</v>
      </c>
      <c r="E1355" t="s">
        <v>953</v>
      </c>
      <c r="F1355" t="s">
        <v>796</v>
      </c>
      <c r="G1355" t="str">
        <f>"06068041000"</f>
        <v>06068041000</v>
      </c>
      <c r="I1355" t="s">
        <v>954</v>
      </c>
      <c r="L1355" t="s">
        <v>41</v>
      </c>
      <c r="M1355">
        <v>3000</v>
      </c>
      <c r="AG1355">
        <v>2840</v>
      </c>
      <c r="AH1355" s="1">
        <v>41585</v>
      </c>
      <c r="AI1355" s="1">
        <v>42062</v>
      </c>
      <c r="AJ1355" s="1">
        <v>41585</v>
      </c>
    </row>
    <row r="1356" spans="1:36" ht="15">
      <c r="A1356" t="str">
        <f>"Z680C09E50"</f>
        <v>Z680C09E50</v>
      </c>
      <c r="B1356" t="str">
        <f t="shared" si="66"/>
        <v>02406911202</v>
      </c>
      <c r="C1356" t="s">
        <v>13</v>
      </c>
      <c r="D1356" t="s">
        <v>930</v>
      </c>
      <c r="E1356" t="s">
        <v>955</v>
      </c>
      <c r="F1356" t="s">
        <v>796</v>
      </c>
      <c r="G1356" t="str">
        <f>"06167210480"</f>
        <v>06167210480</v>
      </c>
      <c r="I1356" t="s">
        <v>956</v>
      </c>
      <c r="L1356" t="s">
        <v>41</v>
      </c>
      <c r="M1356">
        <v>2000</v>
      </c>
      <c r="AG1356">
        <v>643</v>
      </c>
      <c r="AH1356" s="1">
        <v>41569</v>
      </c>
      <c r="AI1356" s="1">
        <v>42342</v>
      </c>
      <c r="AJ1356" s="1">
        <v>41569</v>
      </c>
    </row>
    <row r="1357" spans="1:36" ht="15">
      <c r="A1357" t="str">
        <f>"Z890B7A139"</f>
        <v>Z890B7A139</v>
      </c>
      <c r="B1357" t="str">
        <f t="shared" si="66"/>
        <v>02406911202</v>
      </c>
      <c r="C1357" t="s">
        <v>13</v>
      </c>
      <c r="D1357" t="s">
        <v>930</v>
      </c>
      <c r="E1357" t="s">
        <v>957</v>
      </c>
      <c r="F1357" t="s">
        <v>796</v>
      </c>
      <c r="G1357" t="str">
        <f>"01302600380"</f>
        <v>01302600380</v>
      </c>
      <c r="I1357" t="s">
        <v>958</v>
      </c>
      <c r="L1357" t="s">
        <v>41</v>
      </c>
      <c r="M1357">
        <v>1000</v>
      </c>
      <c r="AG1357">
        <v>716.32</v>
      </c>
      <c r="AH1357" s="1">
        <v>41530</v>
      </c>
      <c r="AI1357" s="1">
        <v>42035</v>
      </c>
      <c r="AJ1357" s="1">
        <v>41530</v>
      </c>
    </row>
    <row r="1358" spans="1:36" ht="15">
      <c r="A1358" t="str">
        <f>"Z9E07F155C"</f>
        <v>Z9E07F155C</v>
      </c>
      <c r="B1358" t="str">
        <f t="shared" si="66"/>
        <v>02406911202</v>
      </c>
      <c r="C1358" t="s">
        <v>13</v>
      </c>
      <c r="D1358" t="s">
        <v>930</v>
      </c>
      <c r="E1358" t="s">
        <v>959</v>
      </c>
      <c r="F1358" t="s">
        <v>796</v>
      </c>
      <c r="G1358" t="str">
        <f>"02773970237"</f>
        <v>02773970237</v>
      </c>
      <c r="I1358" t="s">
        <v>960</v>
      </c>
      <c r="L1358" t="s">
        <v>41</v>
      </c>
      <c r="M1358">
        <v>1000</v>
      </c>
      <c r="AG1358">
        <v>1092</v>
      </c>
      <c r="AH1358" s="1">
        <v>41276</v>
      </c>
      <c r="AI1358" s="1">
        <v>42125</v>
      </c>
      <c r="AJ1358" s="1">
        <v>41276</v>
      </c>
    </row>
    <row r="1359" spans="1:36" ht="15">
      <c r="A1359" t="str">
        <f>"ZBD0B5167B"</f>
        <v>ZBD0B5167B</v>
      </c>
      <c r="B1359" t="str">
        <f t="shared" si="66"/>
        <v>02406911202</v>
      </c>
      <c r="C1359" t="s">
        <v>13</v>
      </c>
      <c r="D1359" t="s">
        <v>930</v>
      </c>
      <c r="E1359" t="s">
        <v>961</v>
      </c>
      <c r="F1359" t="s">
        <v>796</v>
      </c>
      <c r="G1359" t="str">
        <f>"01629031202"</f>
        <v>01629031202</v>
      </c>
      <c r="I1359" t="s">
        <v>962</v>
      </c>
      <c r="L1359" t="s">
        <v>41</v>
      </c>
      <c r="M1359">
        <v>5000</v>
      </c>
      <c r="AG1359">
        <v>2632</v>
      </c>
      <c r="AH1359" s="1">
        <v>41519</v>
      </c>
      <c r="AI1359" s="1">
        <v>42369</v>
      </c>
      <c r="AJ1359" s="1">
        <v>41519</v>
      </c>
    </row>
    <row r="1360" spans="1:36" ht="15">
      <c r="A1360" t="str">
        <f>"ZBE0BA2DCB"</f>
        <v>ZBE0BA2DCB</v>
      </c>
      <c r="B1360" t="str">
        <f t="shared" si="66"/>
        <v>02406911202</v>
      </c>
      <c r="C1360" t="s">
        <v>13</v>
      </c>
      <c r="D1360" t="s">
        <v>930</v>
      </c>
      <c r="E1360" t="s">
        <v>963</v>
      </c>
      <c r="F1360" t="s">
        <v>796</v>
      </c>
      <c r="G1360" t="str">
        <f>"01835220482"</f>
        <v>01835220482</v>
      </c>
      <c r="I1360" t="s">
        <v>964</v>
      </c>
      <c r="L1360" t="s">
        <v>41</v>
      </c>
      <c r="M1360">
        <v>19900</v>
      </c>
      <c r="AG1360">
        <v>15589.66</v>
      </c>
      <c r="AH1360" s="1">
        <v>41542</v>
      </c>
      <c r="AI1360" s="1">
        <v>42364</v>
      </c>
      <c r="AJ1360" s="1">
        <v>41542</v>
      </c>
    </row>
    <row r="1361" spans="1:36" ht="15">
      <c r="A1361" t="str">
        <f>"ZCE0C1D42E"</f>
        <v>ZCE0C1D42E</v>
      </c>
      <c r="B1361" t="str">
        <f t="shared" si="66"/>
        <v>02406911202</v>
      </c>
      <c r="C1361" t="s">
        <v>13</v>
      </c>
      <c r="D1361" t="s">
        <v>930</v>
      </c>
      <c r="E1361" t="s">
        <v>935</v>
      </c>
      <c r="F1361" t="s">
        <v>796</v>
      </c>
      <c r="G1361" t="str">
        <f>"03587070370"</f>
        <v>03587070370</v>
      </c>
      <c r="I1361" t="s">
        <v>965</v>
      </c>
      <c r="L1361" t="s">
        <v>41</v>
      </c>
      <c r="M1361">
        <v>19900</v>
      </c>
      <c r="AG1361">
        <v>19934.41</v>
      </c>
      <c r="AH1361" s="1">
        <v>41575</v>
      </c>
      <c r="AI1361" s="1">
        <v>42091</v>
      </c>
      <c r="AJ1361" s="1">
        <v>41575</v>
      </c>
    </row>
    <row r="1362" spans="1:36" ht="15">
      <c r="A1362" t="str">
        <f>"ZD40C2E07C"</f>
        <v>ZD40C2E07C</v>
      </c>
      <c r="B1362" t="str">
        <f t="shared" si="66"/>
        <v>02406911202</v>
      </c>
      <c r="C1362" t="s">
        <v>13</v>
      </c>
      <c r="D1362" t="s">
        <v>930</v>
      </c>
      <c r="E1362" t="s">
        <v>966</v>
      </c>
      <c r="F1362" t="s">
        <v>796</v>
      </c>
      <c r="G1362" t="str">
        <f>"13278160158"</f>
        <v>13278160158</v>
      </c>
      <c r="I1362" t="s">
        <v>967</v>
      </c>
      <c r="L1362" t="s">
        <v>41</v>
      </c>
      <c r="M1362">
        <v>4000</v>
      </c>
      <c r="AG1362">
        <v>5562.9</v>
      </c>
      <c r="AH1362" s="1">
        <v>41578</v>
      </c>
      <c r="AI1362" s="1">
        <v>42315</v>
      </c>
      <c r="AJ1362" s="1">
        <v>41578</v>
      </c>
    </row>
    <row r="1363" spans="1:36" ht="15">
      <c r="A1363" t="str">
        <f>"ZF6081CEA9"</f>
        <v>ZF6081CEA9</v>
      </c>
      <c r="B1363" t="str">
        <f t="shared" si="66"/>
        <v>02406911202</v>
      </c>
      <c r="C1363" t="s">
        <v>13</v>
      </c>
      <c r="D1363" t="s">
        <v>930</v>
      </c>
      <c r="E1363" t="s">
        <v>968</v>
      </c>
      <c r="F1363" t="s">
        <v>796</v>
      </c>
      <c r="G1363" t="str">
        <f>"00154000368"</f>
        <v>00154000368</v>
      </c>
      <c r="I1363" t="s">
        <v>969</v>
      </c>
      <c r="L1363" t="s">
        <v>41</v>
      </c>
      <c r="M1363">
        <v>19900</v>
      </c>
      <c r="AG1363">
        <v>17547.73</v>
      </c>
      <c r="AH1363" s="1">
        <v>41285</v>
      </c>
      <c r="AI1363" s="1">
        <v>42343</v>
      </c>
      <c r="AJ1363" s="1">
        <v>41285</v>
      </c>
    </row>
    <row r="1364" spans="1:36" ht="15">
      <c r="A1364" t="str">
        <f>"ZF90AA52DE"</f>
        <v>ZF90AA52DE</v>
      </c>
      <c r="B1364" t="str">
        <f t="shared" si="66"/>
        <v>02406911202</v>
      </c>
      <c r="C1364" t="s">
        <v>13</v>
      </c>
      <c r="D1364" t="s">
        <v>930</v>
      </c>
      <c r="E1364" t="s">
        <v>970</v>
      </c>
      <c r="F1364" t="s">
        <v>796</v>
      </c>
      <c r="G1364" t="str">
        <f>"02835291200"</f>
        <v>02835291200</v>
      </c>
      <c r="I1364" t="s">
        <v>971</v>
      </c>
      <c r="L1364" t="s">
        <v>41</v>
      </c>
      <c r="M1364">
        <v>3000</v>
      </c>
      <c r="AG1364">
        <v>2506.35</v>
      </c>
      <c r="AH1364" s="1">
        <v>41459</v>
      </c>
      <c r="AI1364" s="1">
        <v>42358</v>
      </c>
      <c r="AJ1364" s="1">
        <v>41459</v>
      </c>
    </row>
    <row r="1365" spans="1:36" ht="15">
      <c r="A1365" t="str">
        <f>"5048754B97"</f>
        <v>5048754B97</v>
      </c>
      <c r="B1365" t="str">
        <f t="shared" si="66"/>
        <v>02406911202</v>
      </c>
      <c r="C1365" t="s">
        <v>13</v>
      </c>
      <c r="D1365" t="s">
        <v>972</v>
      </c>
      <c r="E1365" t="s">
        <v>973</v>
      </c>
      <c r="F1365" t="s">
        <v>796</v>
      </c>
      <c r="G1365" t="str">
        <f>"01912610340"</f>
        <v>01912610340</v>
      </c>
      <c r="I1365" t="s">
        <v>974</v>
      </c>
      <c r="L1365" t="s">
        <v>41</v>
      </c>
      <c r="M1365">
        <v>4892</v>
      </c>
      <c r="AG1365">
        <v>4892</v>
      </c>
      <c r="AH1365" s="1">
        <v>41374</v>
      </c>
      <c r="AI1365" s="1">
        <v>41384</v>
      </c>
      <c r="AJ1365" s="1">
        <v>41374</v>
      </c>
    </row>
    <row r="1366" spans="1:36" ht="15">
      <c r="A1366" t="str">
        <f>"2011746151"</f>
        <v>2011746151</v>
      </c>
      <c r="B1366" t="str">
        <f t="shared" si="66"/>
        <v>02406911202</v>
      </c>
      <c r="C1366" t="s">
        <v>13</v>
      </c>
      <c r="D1366" t="s">
        <v>975</v>
      </c>
      <c r="E1366" t="s">
        <v>976</v>
      </c>
      <c r="F1366" t="s">
        <v>796</v>
      </c>
      <c r="G1366" t="str">
        <f>"04888840487"</f>
        <v>04888840487</v>
      </c>
      <c r="I1366" t="s">
        <v>977</v>
      </c>
      <c r="L1366" t="s">
        <v>41</v>
      </c>
      <c r="M1366">
        <v>5978</v>
      </c>
      <c r="AG1366">
        <v>5978</v>
      </c>
      <c r="AH1366" s="1">
        <v>41306</v>
      </c>
      <c r="AI1366" s="1">
        <v>41316</v>
      </c>
      <c r="AJ1366" s="1">
        <v>41306</v>
      </c>
    </row>
    <row r="1367" spans="1:36" ht="15">
      <c r="A1367" t="str">
        <f>"2026565656"</f>
        <v>2026565656</v>
      </c>
      <c r="B1367" t="str">
        <f t="shared" si="66"/>
        <v>02406911202</v>
      </c>
      <c r="C1367" t="s">
        <v>13</v>
      </c>
      <c r="D1367" t="s">
        <v>975</v>
      </c>
      <c r="E1367" t="s">
        <v>978</v>
      </c>
      <c r="F1367" t="s">
        <v>796</v>
      </c>
      <c r="G1367" t="str">
        <f>"02154270595"</f>
        <v>02154270595</v>
      </c>
      <c r="I1367" t="s">
        <v>143</v>
      </c>
      <c r="L1367" t="s">
        <v>41</v>
      </c>
      <c r="M1367">
        <v>10005.9</v>
      </c>
      <c r="AG1367">
        <v>10005.9</v>
      </c>
      <c r="AH1367" s="1">
        <v>41416</v>
      </c>
      <c r="AI1367" s="1">
        <v>41474</v>
      </c>
      <c r="AJ1367" s="1">
        <v>41416</v>
      </c>
    </row>
    <row r="1368" spans="1:36" ht="15">
      <c r="A1368" t="str">
        <f>"2071492944"</f>
        <v>2071492944</v>
      </c>
      <c r="B1368" t="str">
        <f t="shared" si="66"/>
        <v>02406911202</v>
      </c>
      <c r="C1368" t="s">
        <v>13</v>
      </c>
      <c r="D1368" t="s">
        <v>975</v>
      </c>
      <c r="E1368" t="s">
        <v>979</v>
      </c>
      <c r="F1368" t="s">
        <v>796</v>
      </c>
      <c r="G1368" t="str">
        <f>"01296201005"</f>
        <v>01296201005</v>
      </c>
      <c r="I1368" t="s">
        <v>99</v>
      </c>
      <c r="L1368" t="s">
        <v>41</v>
      </c>
      <c r="M1368">
        <v>11843.25</v>
      </c>
      <c r="AG1368">
        <v>11843.25</v>
      </c>
      <c r="AH1368" s="1">
        <v>41290</v>
      </c>
      <c r="AI1368" s="1">
        <v>41483</v>
      </c>
      <c r="AJ1368" s="1">
        <v>41290</v>
      </c>
    </row>
    <row r="1369" spans="1:36" ht="15">
      <c r="A1369" t="str">
        <f>"2088759274"</f>
        <v>2088759274</v>
      </c>
      <c r="B1369" t="str">
        <f t="shared" si="66"/>
        <v>02406911202</v>
      </c>
      <c r="C1369" t="s">
        <v>13</v>
      </c>
      <c r="D1369" t="s">
        <v>975</v>
      </c>
      <c r="E1369" t="s">
        <v>980</v>
      </c>
      <c r="F1369" t="s">
        <v>796</v>
      </c>
      <c r="G1369" t="str">
        <f>"05239350969"</f>
        <v>05239350969</v>
      </c>
      <c r="I1369" t="s">
        <v>981</v>
      </c>
      <c r="L1369" t="s">
        <v>41</v>
      </c>
      <c r="M1369">
        <v>696</v>
      </c>
      <c r="AG1369">
        <v>696</v>
      </c>
      <c r="AH1369" s="1">
        <v>41292</v>
      </c>
      <c r="AI1369" s="1">
        <v>41371</v>
      </c>
      <c r="AJ1369" s="1">
        <v>41292</v>
      </c>
    </row>
    <row r="1370" spans="1:36" ht="15">
      <c r="A1370" t="str">
        <f>"2148900061"</f>
        <v>2148900061</v>
      </c>
      <c r="B1370" t="str">
        <f t="shared" si="66"/>
        <v>02406911202</v>
      </c>
      <c r="C1370" t="s">
        <v>13</v>
      </c>
      <c r="D1370" t="s">
        <v>975</v>
      </c>
      <c r="E1370" t="s">
        <v>979</v>
      </c>
      <c r="F1370" t="s">
        <v>796</v>
      </c>
      <c r="G1370" t="str">
        <f>"00847380961"</f>
        <v>00847380961</v>
      </c>
      <c r="I1370" t="s">
        <v>98</v>
      </c>
      <c r="L1370" t="s">
        <v>41</v>
      </c>
      <c r="M1370">
        <v>4438.55</v>
      </c>
      <c r="AG1370">
        <v>4438.55</v>
      </c>
      <c r="AH1370" s="1">
        <v>41281</v>
      </c>
      <c r="AI1370" s="1">
        <v>41396</v>
      </c>
      <c r="AJ1370" s="1">
        <v>41281</v>
      </c>
    </row>
    <row r="1371" spans="1:36" ht="15">
      <c r="A1371" t="str">
        <f>"2175977904"</f>
        <v>2175977904</v>
      </c>
      <c r="B1371" t="str">
        <f t="shared" si="66"/>
        <v>02406911202</v>
      </c>
      <c r="C1371" t="s">
        <v>13</v>
      </c>
      <c r="D1371" t="s">
        <v>975</v>
      </c>
      <c r="E1371" t="s">
        <v>982</v>
      </c>
      <c r="F1371" t="s">
        <v>796</v>
      </c>
      <c r="G1371" t="str">
        <f>"01418430359"</f>
        <v>01418430359</v>
      </c>
      <c r="I1371" t="s">
        <v>983</v>
      </c>
      <c r="L1371" t="s">
        <v>41</v>
      </c>
      <c r="M1371">
        <v>3131.7</v>
      </c>
      <c r="AG1371">
        <v>3131.7</v>
      </c>
      <c r="AH1371" s="1">
        <v>41290</v>
      </c>
      <c r="AI1371" s="1">
        <v>41400</v>
      </c>
      <c r="AJ1371" s="1">
        <v>41290</v>
      </c>
    </row>
    <row r="1372" spans="1:36" ht="15">
      <c r="A1372" t="str">
        <f>"2417632509"</f>
        <v>2417632509</v>
      </c>
      <c r="B1372" t="str">
        <f t="shared" si="66"/>
        <v>02406911202</v>
      </c>
      <c r="C1372" t="s">
        <v>13</v>
      </c>
      <c r="D1372" t="s">
        <v>975</v>
      </c>
      <c r="E1372" t="s">
        <v>979</v>
      </c>
      <c r="F1372" t="s">
        <v>796</v>
      </c>
      <c r="G1372" t="str">
        <f>"02893271201"</f>
        <v>02893271201</v>
      </c>
      <c r="I1372" t="s">
        <v>487</v>
      </c>
      <c r="L1372" t="s">
        <v>41</v>
      </c>
      <c r="M1372">
        <v>7744</v>
      </c>
      <c r="AG1372">
        <v>7744</v>
      </c>
      <c r="AH1372" s="1">
        <v>41366</v>
      </c>
      <c r="AI1372" s="1">
        <v>41558</v>
      </c>
      <c r="AJ1372" s="1">
        <v>41366</v>
      </c>
    </row>
    <row r="1373" spans="1:36" ht="15">
      <c r="A1373" t="str">
        <f>"2571359093"</f>
        <v>2571359093</v>
      </c>
      <c r="B1373" t="str">
        <f t="shared" si="66"/>
        <v>02406911202</v>
      </c>
      <c r="C1373" t="s">
        <v>13</v>
      </c>
      <c r="D1373" t="s">
        <v>975</v>
      </c>
      <c r="E1373" t="s">
        <v>984</v>
      </c>
      <c r="F1373" t="s">
        <v>796</v>
      </c>
      <c r="G1373" t="str">
        <f>"01011250105"</f>
        <v>01011250105</v>
      </c>
      <c r="I1373" t="s">
        <v>985</v>
      </c>
      <c r="L1373" t="s">
        <v>41</v>
      </c>
      <c r="M1373">
        <v>18744</v>
      </c>
      <c r="AG1373">
        <v>18744</v>
      </c>
      <c r="AH1373" s="1">
        <v>41593</v>
      </c>
      <c r="AI1373" s="1">
        <v>41603</v>
      </c>
      <c r="AJ1373" s="1">
        <v>41593</v>
      </c>
    </row>
    <row r="1374" spans="1:36" ht="15">
      <c r="A1374" t="str">
        <f>"2683181700"</f>
        <v>2683181700</v>
      </c>
      <c r="B1374" t="str">
        <f t="shared" si="66"/>
        <v>02406911202</v>
      </c>
      <c r="C1374" t="s">
        <v>13</v>
      </c>
      <c r="D1374" t="s">
        <v>975</v>
      </c>
      <c r="E1374" t="s">
        <v>986</v>
      </c>
      <c r="F1374" t="s">
        <v>796</v>
      </c>
      <c r="G1374" t="str">
        <f>"00693931206"</f>
        <v>00693931206</v>
      </c>
      <c r="I1374" t="s">
        <v>987</v>
      </c>
      <c r="L1374" t="s">
        <v>41</v>
      </c>
      <c r="M1374">
        <v>2624</v>
      </c>
      <c r="AG1374">
        <v>2624</v>
      </c>
      <c r="AH1374" s="1">
        <v>41295</v>
      </c>
      <c r="AI1374" s="1">
        <v>41305</v>
      </c>
      <c r="AJ1374" s="1">
        <v>41295</v>
      </c>
    </row>
    <row r="1375" spans="1:36" ht="15">
      <c r="A1375" t="str">
        <f>"03704855E3"</f>
        <v>03704855E3</v>
      </c>
      <c r="B1375" t="str">
        <f t="shared" si="66"/>
        <v>02406911202</v>
      </c>
      <c r="C1375" t="s">
        <v>13</v>
      </c>
      <c r="D1375" t="s">
        <v>975</v>
      </c>
      <c r="E1375" t="s">
        <v>988</v>
      </c>
      <c r="F1375" t="s">
        <v>796</v>
      </c>
      <c r="G1375" t="str">
        <f>"02154270595"</f>
        <v>02154270595</v>
      </c>
      <c r="I1375" t="s">
        <v>143</v>
      </c>
      <c r="L1375" t="s">
        <v>41</v>
      </c>
      <c r="M1375">
        <v>175</v>
      </c>
      <c r="AG1375">
        <v>34323.08</v>
      </c>
      <c r="AH1375" s="1">
        <v>41297</v>
      </c>
      <c r="AI1375" s="1">
        <v>41629</v>
      </c>
      <c r="AJ1375" s="1">
        <v>41297</v>
      </c>
    </row>
    <row r="1376" spans="1:36" ht="15">
      <c r="A1376" t="str">
        <f>"20198565E5"</f>
        <v>20198565E5</v>
      </c>
      <c r="B1376" t="str">
        <f t="shared" si="66"/>
        <v>02406911202</v>
      </c>
      <c r="C1376" t="s">
        <v>13</v>
      </c>
      <c r="D1376" t="s">
        <v>975</v>
      </c>
      <c r="E1376" t="s">
        <v>989</v>
      </c>
      <c r="F1376" t="s">
        <v>796</v>
      </c>
      <c r="G1376" t="str">
        <f>"03112531201"</f>
        <v>03112531201</v>
      </c>
      <c r="I1376" t="s">
        <v>990</v>
      </c>
      <c r="L1376" t="s">
        <v>41</v>
      </c>
      <c r="M1376">
        <v>9648</v>
      </c>
      <c r="AG1376">
        <v>9648</v>
      </c>
      <c r="AH1376" s="1">
        <v>41285</v>
      </c>
      <c r="AI1376" s="1">
        <v>41336</v>
      </c>
      <c r="AJ1376" s="1">
        <v>41285</v>
      </c>
    </row>
    <row r="1377" spans="1:36" ht="15">
      <c r="A1377" t="str">
        <f>"2283978E41"</f>
        <v>2283978E41</v>
      </c>
      <c r="B1377" t="str">
        <f t="shared" si="66"/>
        <v>02406911202</v>
      </c>
      <c r="C1377" t="s">
        <v>13</v>
      </c>
      <c r="D1377" t="s">
        <v>975</v>
      </c>
      <c r="E1377" t="s">
        <v>991</v>
      </c>
      <c r="F1377" t="s">
        <v>796</v>
      </c>
      <c r="G1377" t="str">
        <f>"02405040284"</f>
        <v>02405040284</v>
      </c>
      <c r="I1377" t="s">
        <v>410</v>
      </c>
      <c r="L1377" t="s">
        <v>41</v>
      </c>
      <c r="M1377">
        <v>2672</v>
      </c>
      <c r="AG1377">
        <v>2672</v>
      </c>
      <c r="AH1377" s="1">
        <v>41285</v>
      </c>
      <c r="AI1377" s="1">
        <v>41446</v>
      </c>
      <c r="AJ1377" s="1">
        <v>41285</v>
      </c>
    </row>
    <row r="1378" spans="1:36" ht="15">
      <c r="A1378" t="str">
        <f>"1880811E52"</f>
        <v>1880811E52</v>
      </c>
      <c r="B1378" t="str">
        <f t="shared" si="66"/>
        <v>02406911202</v>
      </c>
      <c r="C1378" t="s">
        <v>13</v>
      </c>
      <c r="D1378" t="s">
        <v>975</v>
      </c>
      <c r="E1378" t="s">
        <v>992</v>
      </c>
      <c r="F1378" t="s">
        <v>796</v>
      </c>
      <c r="G1378" t="str">
        <f>"00747030153"</f>
        <v>00747030153</v>
      </c>
      <c r="I1378" t="s">
        <v>993</v>
      </c>
      <c r="L1378" t="s">
        <v>41</v>
      </c>
      <c r="M1378">
        <v>5321</v>
      </c>
      <c r="AG1378">
        <v>5321</v>
      </c>
      <c r="AH1378" s="1">
        <v>41393</v>
      </c>
      <c r="AI1378" s="1">
        <v>41624</v>
      </c>
      <c r="AJ1378" s="1">
        <v>41393</v>
      </c>
    </row>
    <row r="1379" spans="1:36" ht="15">
      <c r="A1379" t="str">
        <f>"1851943FB1"</f>
        <v>1851943FB1</v>
      </c>
      <c r="B1379" t="str">
        <f t="shared" si="66"/>
        <v>02406911202</v>
      </c>
      <c r="C1379" t="s">
        <v>13</v>
      </c>
      <c r="D1379" t="s">
        <v>975</v>
      </c>
      <c r="E1379" t="s">
        <v>994</v>
      </c>
      <c r="F1379" t="s">
        <v>796</v>
      </c>
      <c r="G1379" t="str">
        <f>"00539831206"</f>
        <v>00539831206</v>
      </c>
      <c r="I1379" t="s">
        <v>995</v>
      </c>
      <c r="L1379" t="s">
        <v>41</v>
      </c>
      <c r="M1379">
        <v>5572.53</v>
      </c>
      <c r="AG1379">
        <v>5572.53</v>
      </c>
      <c r="AH1379" s="1">
        <v>41284</v>
      </c>
      <c r="AI1379" s="1">
        <v>41341</v>
      </c>
      <c r="AJ1379" s="1">
        <v>41284</v>
      </c>
    </row>
    <row r="1380" spans="1:36" ht="15">
      <c r="A1380" t="str">
        <f>"1883501A2F"</f>
        <v>1883501A2F</v>
      </c>
      <c r="B1380" t="str">
        <f t="shared" si="66"/>
        <v>02406911202</v>
      </c>
      <c r="C1380" t="s">
        <v>13</v>
      </c>
      <c r="D1380" t="s">
        <v>975</v>
      </c>
      <c r="E1380" t="s">
        <v>996</v>
      </c>
      <c r="F1380" t="s">
        <v>796</v>
      </c>
      <c r="G1380" t="str">
        <f>"02217770235"</f>
        <v>02217770235</v>
      </c>
      <c r="I1380" t="s">
        <v>997</v>
      </c>
      <c r="L1380" t="s">
        <v>41</v>
      </c>
      <c r="M1380">
        <v>231</v>
      </c>
      <c r="AG1380">
        <v>231</v>
      </c>
      <c r="AH1380" s="1">
        <v>41471</v>
      </c>
      <c r="AI1380" s="1">
        <v>41566</v>
      </c>
      <c r="AJ1380" s="1">
        <v>41471</v>
      </c>
    </row>
    <row r="1381" spans="1:36" ht="15">
      <c r="A1381" t="str">
        <f>"18872743C5"</f>
        <v>18872743C5</v>
      </c>
      <c r="B1381" t="str">
        <f t="shared" si="66"/>
        <v>02406911202</v>
      </c>
      <c r="C1381" t="s">
        <v>13</v>
      </c>
      <c r="D1381" t="s">
        <v>975</v>
      </c>
      <c r="E1381" t="s">
        <v>998</v>
      </c>
      <c r="F1381" t="s">
        <v>796</v>
      </c>
      <c r="G1381" t="str">
        <f>"00495451205"</f>
        <v>00495451205</v>
      </c>
      <c r="I1381" t="s">
        <v>183</v>
      </c>
      <c r="L1381" t="s">
        <v>41</v>
      </c>
      <c r="M1381">
        <v>7464.75</v>
      </c>
      <c r="AG1381">
        <v>7464.75</v>
      </c>
      <c r="AH1381" s="1">
        <v>41283</v>
      </c>
      <c r="AI1381" s="1">
        <v>41617</v>
      </c>
      <c r="AJ1381" s="1">
        <v>41283</v>
      </c>
    </row>
    <row r="1382" spans="1:36" ht="15">
      <c r="A1382" t="str">
        <f>"1900370AEC"</f>
        <v>1900370AEC</v>
      </c>
      <c r="B1382" t="str">
        <f t="shared" si="66"/>
        <v>02406911202</v>
      </c>
      <c r="C1382" t="s">
        <v>13</v>
      </c>
      <c r="D1382" t="s">
        <v>975</v>
      </c>
      <c r="E1382" t="s">
        <v>980</v>
      </c>
      <c r="F1382" t="s">
        <v>796</v>
      </c>
      <c r="G1382" t="str">
        <f>"07484470153"</f>
        <v>07484470153</v>
      </c>
      <c r="I1382" t="s">
        <v>999</v>
      </c>
      <c r="L1382" t="s">
        <v>41</v>
      </c>
      <c r="M1382">
        <v>9511</v>
      </c>
      <c r="AG1382">
        <v>9511</v>
      </c>
      <c r="AH1382" s="1">
        <v>41295</v>
      </c>
      <c r="AI1382" s="1">
        <v>41396</v>
      </c>
      <c r="AJ1382" s="1">
        <v>41295</v>
      </c>
    </row>
    <row r="1383" spans="1:36" ht="15">
      <c r="A1383" t="str">
        <f>"1901980B89"</f>
        <v>1901980B89</v>
      </c>
      <c r="B1383" t="str">
        <f t="shared" si="66"/>
        <v>02406911202</v>
      </c>
      <c r="C1383" t="s">
        <v>13</v>
      </c>
      <c r="D1383" t="s">
        <v>975</v>
      </c>
      <c r="E1383" t="s">
        <v>1000</v>
      </c>
      <c r="F1383" t="s">
        <v>796</v>
      </c>
      <c r="G1383" t="str">
        <f>"02691021204"</f>
        <v>02691021204</v>
      </c>
      <c r="I1383" t="s">
        <v>1001</v>
      </c>
      <c r="L1383" t="s">
        <v>41</v>
      </c>
      <c r="M1383">
        <v>9739.62</v>
      </c>
      <c r="AG1383">
        <v>9739.62</v>
      </c>
      <c r="AH1383" s="1">
        <v>41383</v>
      </c>
      <c r="AI1383" s="1">
        <v>41581</v>
      </c>
      <c r="AJ1383" s="1">
        <v>41383</v>
      </c>
    </row>
    <row r="1384" spans="1:36" ht="15">
      <c r="A1384" t="str">
        <f>"1924608CC0"</f>
        <v>1924608CC0</v>
      </c>
      <c r="B1384" t="str">
        <f t="shared" si="66"/>
        <v>02406911202</v>
      </c>
      <c r="C1384" t="s">
        <v>13</v>
      </c>
      <c r="D1384" t="s">
        <v>975</v>
      </c>
      <c r="E1384" t="s">
        <v>1002</v>
      </c>
      <c r="F1384" t="s">
        <v>796</v>
      </c>
      <c r="G1384" t="str">
        <f>"00495451205"</f>
        <v>00495451205</v>
      </c>
      <c r="I1384" t="s">
        <v>183</v>
      </c>
      <c r="L1384" t="s">
        <v>41</v>
      </c>
      <c r="M1384">
        <v>4084.45</v>
      </c>
      <c r="AG1384">
        <v>4084.45</v>
      </c>
      <c r="AH1384" s="1">
        <v>41310</v>
      </c>
      <c r="AI1384" s="1">
        <v>41356</v>
      </c>
      <c r="AJ1384" s="1">
        <v>41310</v>
      </c>
    </row>
    <row r="1385" spans="1:36" ht="15">
      <c r="A1385" t="str">
        <f>"1933349A0E"</f>
        <v>1933349A0E</v>
      </c>
      <c r="B1385" t="str">
        <f t="shared" si="66"/>
        <v>02406911202</v>
      </c>
      <c r="C1385" t="s">
        <v>13</v>
      </c>
      <c r="D1385" t="s">
        <v>975</v>
      </c>
      <c r="E1385" t="s">
        <v>1003</v>
      </c>
      <c r="F1385" t="s">
        <v>796</v>
      </c>
      <c r="G1385" t="str">
        <f>"02823921206"</f>
        <v>02823921206</v>
      </c>
      <c r="I1385" t="s">
        <v>1004</v>
      </c>
      <c r="L1385" t="s">
        <v>41</v>
      </c>
      <c r="M1385">
        <v>9551.54</v>
      </c>
      <c r="AG1385">
        <v>9551.54</v>
      </c>
      <c r="AH1385" s="1">
        <v>41306</v>
      </c>
      <c r="AI1385" s="1">
        <v>41435</v>
      </c>
      <c r="AJ1385" s="1">
        <v>41306</v>
      </c>
    </row>
    <row r="1386" spans="1:36" ht="15">
      <c r="A1386" t="str">
        <f>"1989694B6B"</f>
        <v>1989694B6B</v>
      </c>
      <c r="B1386" t="str">
        <f t="shared" si="66"/>
        <v>02406911202</v>
      </c>
      <c r="C1386" t="s">
        <v>13</v>
      </c>
      <c r="D1386" t="s">
        <v>975</v>
      </c>
      <c r="E1386" t="s">
        <v>1005</v>
      </c>
      <c r="F1386" t="s">
        <v>796</v>
      </c>
      <c r="G1386" t="str">
        <f>"13247480158"</f>
        <v>13247480158</v>
      </c>
      <c r="I1386" t="s">
        <v>1006</v>
      </c>
      <c r="L1386" t="s">
        <v>41</v>
      </c>
      <c r="M1386">
        <v>5247</v>
      </c>
      <c r="AG1386">
        <v>5247</v>
      </c>
      <c r="AH1386" s="1">
        <v>41278</v>
      </c>
      <c r="AI1386" s="1">
        <v>41463</v>
      </c>
      <c r="AJ1386" s="1">
        <v>41278</v>
      </c>
    </row>
    <row r="1387" spans="1:36" ht="15">
      <c r="A1387" t="str">
        <f>"2009082AE7"</f>
        <v>2009082AE7</v>
      </c>
      <c r="B1387" t="str">
        <f t="shared" si="66"/>
        <v>02406911202</v>
      </c>
      <c r="C1387" t="s">
        <v>13</v>
      </c>
      <c r="D1387" t="s">
        <v>975</v>
      </c>
      <c r="E1387" t="s">
        <v>1007</v>
      </c>
      <c r="F1387" t="s">
        <v>796</v>
      </c>
      <c r="G1387" t="str">
        <f>"09238800156"</f>
        <v>09238800156</v>
      </c>
      <c r="I1387" t="s">
        <v>257</v>
      </c>
      <c r="L1387" t="s">
        <v>41</v>
      </c>
      <c r="M1387">
        <v>15973.31</v>
      </c>
      <c r="AG1387">
        <v>15973.31</v>
      </c>
      <c r="AH1387" s="1">
        <v>41292</v>
      </c>
      <c r="AI1387" s="1">
        <v>41596</v>
      </c>
      <c r="AJ1387" s="1">
        <v>41292</v>
      </c>
    </row>
    <row r="1388" spans="1:36" ht="15">
      <c r="A1388" t="str">
        <f>"2023918DF4"</f>
        <v>2023918DF4</v>
      </c>
      <c r="B1388" t="str">
        <f t="shared" si="66"/>
        <v>02406911202</v>
      </c>
      <c r="C1388" t="s">
        <v>13</v>
      </c>
      <c r="D1388" t="s">
        <v>975</v>
      </c>
      <c r="E1388" t="s">
        <v>978</v>
      </c>
      <c r="F1388" t="s">
        <v>796</v>
      </c>
      <c r="G1388" t="str">
        <f>"06324460150"</f>
        <v>06324460150</v>
      </c>
      <c r="I1388" t="s">
        <v>166</v>
      </c>
      <c r="L1388" t="s">
        <v>45</v>
      </c>
      <c r="AJ1388" s="1">
        <v>41284</v>
      </c>
    </row>
    <row r="1389" spans="1:36" ht="15">
      <c r="A1389" t="str">
        <f>"202627355F"</f>
        <v>202627355F</v>
      </c>
      <c r="B1389" t="str">
        <f t="shared" si="66"/>
        <v>02406911202</v>
      </c>
      <c r="C1389" t="s">
        <v>13</v>
      </c>
      <c r="D1389" t="s">
        <v>975</v>
      </c>
      <c r="E1389" t="s">
        <v>1008</v>
      </c>
      <c r="F1389" t="s">
        <v>796</v>
      </c>
      <c r="G1389" t="str">
        <f>"02154270595"</f>
        <v>02154270595</v>
      </c>
      <c r="I1389" t="s">
        <v>143</v>
      </c>
      <c r="L1389" t="s">
        <v>41</v>
      </c>
      <c r="M1389">
        <v>5128.72</v>
      </c>
      <c r="AG1389">
        <v>5128.72</v>
      </c>
      <c r="AH1389" s="1">
        <v>41521</v>
      </c>
      <c r="AI1389" s="1">
        <v>41531</v>
      </c>
      <c r="AJ1389" s="1">
        <v>41521</v>
      </c>
    </row>
    <row r="1390" spans="1:36" ht="15">
      <c r="A1390" t="str">
        <f>"203108585B"</f>
        <v>203108585B</v>
      </c>
      <c r="B1390" t="str">
        <f t="shared" si="66"/>
        <v>02406911202</v>
      </c>
      <c r="C1390" t="s">
        <v>13</v>
      </c>
      <c r="D1390" t="s">
        <v>975</v>
      </c>
      <c r="E1390" t="s">
        <v>1009</v>
      </c>
      <c r="F1390" t="s">
        <v>796</v>
      </c>
      <c r="G1390" t="str">
        <f>"00674840152"</f>
        <v>00674840152</v>
      </c>
      <c r="I1390" t="s">
        <v>171</v>
      </c>
      <c r="L1390" t="s">
        <v>41</v>
      </c>
      <c r="M1390">
        <v>10285.19</v>
      </c>
      <c r="AG1390">
        <v>10285.19</v>
      </c>
      <c r="AH1390" s="1">
        <v>41473</v>
      </c>
      <c r="AI1390" s="1">
        <v>41616</v>
      </c>
      <c r="AJ1390" s="1">
        <v>41473</v>
      </c>
    </row>
    <row r="1391" spans="1:36" ht="15">
      <c r="A1391" t="str">
        <f>"2031322BEE"</f>
        <v>2031322BEE</v>
      </c>
      <c r="B1391" t="str">
        <f t="shared" si="66"/>
        <v>02406911202</v>
      </c>
      <c r="C1391" t="s">
        <v>13</v>
      </c>
      <c r="D1391" t="s">
        <v>975</v>
      </c>
      <c r="E1391" t="s">
        <v>1010</v>
      </c>
      <c r="F1391" t="s">
        <v>796</v>
      </c>
      <c r="G1391" t="str">
        <f>"00674840152"</f>
        <v>00674840152</v>
      </c>
      <c r="I1391" t="s">
        <v>171</v>
      </c>
      <c r="L1391" t="s">
        <v>41</v>
      </c>
      <c r="M1391">
        <v>12902.09</v>
      </c>
      <c r="AG1391">
        <v>12902.09</v>
      </c>
      <c r="AH1391" s="1">
        <v>41282</v>
      </c>
      <c r="AI1391" s="1">
        <v>41634</v>
      </c>
      <c r="AJ1391" s="1">
        <v>41282</v>
      </c>
    </row>
    <row r="1392" spans="1:36" ht="15">
      <c r="A1392" t="str">
        <f>"2032584D5D"</f>
        <v>2032584D5D</v>
      </c>
      <c r="B1392" t="str">
        <f t="shared" si="66"/>
        <v>02406911202</v>
      </c>
      <c r="C1392" t="s">
        <v>13</v>
      </c>
      <c r="D1392" t="s">
        <v>975</v>
      </c>
      <c r="E1392" t="s">
        <v>979</v>
      </c>
      <c r="F1392" t="s">
        <v>796</v>
      </c>
      <c r="G1392" t="str">
        <f>"00612690289"</f>
        <v>00612690289</v>
      </c>
      <c r="I1392" t="s">
        <v>737</v>
      </c>
      <c r="L1392" t="s">
        <v>41</v>
      </c>
      <c r="M1392">
        <v>11075.03</v>
      </c>
      <c r="AG1392">
        <v>11075.03</v>
      </c>
      <c r="AH1392" s="1">
        <v>41282</v>
      </c>
      <c r="AI1392" s="1">
        <v>41319</v>
      </c>
      <c r="AJ1392" s="1">
        <v>41282</v>
      </c>
    </row>
    <row r="1393" spans="1:36" ht="15">
      <c r="A1393" t="str">
        <f>"203376297C"</f>
        <v>203376297C</v>
      </c>
      <c r="B1393" t="str">
        <f t="shared" si="66"/>
        <v>02406911202</v>
      </c>
      <c r="C1393" t="s">
        <v>13</v>
      </c>
      <c r="D1393" t="s">
        <v>975</v>
      </c>
      <c r="E1393" t="s">
        <v>1011</v>
      </c>
      <c r="F1393" t="s">
        <v>796</v>
      </c>
      <c r="G1393" t="str">
        <f>"12971700153"</f>
        <v>12971700153</v>
      </c>
      <c r="I1393" t="s">
        <v>1012</v>
      </c>
      <c r="L1393" t="s">
        <v>41</v>
      </c>
      <c r="M1393">
        <v>12750.92</v>
      </c>
      <c r="AG1393">
        <v>12750.92</v>
      </c>
      <c r="AH1393" s="1">
        <v>41346</v>
      </c>
      <c r="AI1393" s="1">
        <v>41558</v>
      </c>
      <c r="AJ1393" s="1">
        <v>41346</v>
      </c>
    </row>
    <row r="1394" spans="1:36" ht="15">
      <c r="A1394" t="str">
        <f>"2039605F46"</f>
        <v>2039605F46</v>
      </c>
      <c r="B1394" t="str">
        <f t="shared" si="66"/>
        <v>02406911202</v>
      </c>
      <c r="C1394" t="s">
        <v>13</v>
      </c>
      <c r="D1394" t="s">
        <v>975</v>
      </c>
      <c r="E1394" t="s">
        <v>1013</v>
      </c>
      <c r="F1394" t="s">
        <v>796</v>
      </c>
      <c r="G1394" t="str">
        <f>"08641790152"</f>
        <v>08641790152</v>
      </c>
      <c r="I1394" t="s">
        <v>1014</v>
      </c>
      <c r="L1394" t="s">
        <v>41</v>
      </c>
      <c r="M1394">
        <v>9790.7</v>
      </c>
      <c r="AG1394">
        <v>9790.7</v>
      </c>
      <c r="AH1394" s="1">
        <v>41278</v>
      </c>
      <c r="AI1394" s="1">
        <v>41587</v>
      </c>
      <c r="AJ1394" s="1">
        <v>41278</v>
      </c>
    </row>
    <row r="1395" spans="1:36" ht="15">
      <c r="A1395" t="str">
        <f>"2054239BA3"</f>
        <v>2054239BA3</v>
      </c>
      <c r="B1395" t="str">
        <f t="shared" si="66"/>
        <v>02406911202</v>
      </c>
      <c r="C1395" t="s">
        <v>13</v>
      </c>
      <c r="D1395" t="s">
        <v>975</v>
      </c>
      <c r="E1395" t="s">
        <v>979</v>
      </c>
      <c r="F1395" t="s">
        <v>796</v>
      </c>
      <c r="G1395" t="str">
        <f>"00735880494"</f>
        <v>00735880494</v>
      </c>
      <c r="I1395" t="s">
        <v>1015</v>
      </c>
      <c r="L1395" t="s">
        <v>41</v>
      </c>
      <c r="M1395">
        <v>13872.7</v>
      </c>
      <c r="AG1395">
        <v>13872.7</v>
      </c>
      <c r="AH1395" s="1">
        <v>41288</v>
      </c>
      <c r="AI1395" s="1">
        <v>41622</v>
      </c>
      <c r="AJ1395" s="1">
        <v>41288</v>
      </c>
    </row>
    <row r="1396" spans="1:36" ht="15">
      <c r="A1396" t="str">
        <f>"20545750ED"</f>
        <v>20545750ED</v>
      </c>
      <c r="B1396" t="str">
        <f t="shared" si="66"/>
        <v>02406911202</v>
      </c>
      <c r="C1396" t="s">
        <v>13</v>
      </c>
      <c r="D1396" t="s">
        <v>975</v>
      </c>
      <c r="E1396" t="s">
        <v>979</v>
      </c>
      <c r="F1396" t="s">
        <v>796</v>
      </c>
      <c r="G1396" t="str">
        <f>"02823921206"</f>
        <v>02823921206</v>
      </c>
      <c r="I1396" t="s">
        <v>1004</v>
      </c>
      <c r="L1396" t="s">
        <v>41</v>
      </c>
      <c r="M1396">
        <v>10689</v>
      </c>
      <c r="AG1396">
        <v>10689</v>
      </c>
      <c r="AH1396" s="1">
        <v>41278</v>
      </c>
      <c r="AI1396" s="1">
        <v>41447</v>
      </c>
      <c r="AJ1396" s="1">
        <v>41278</v>
      </c>
    </row>
    <row r="1397" spans="1:36" ht="15">
      <c r="A1397" t="str">
        <f>"20839344BC"</f>
        <v>20839344BC</v>
      </c>
      <c r="B1397" t="str">
        <f t="shared" si="66"/>
        <v>02406911202</v>
      </c>
      <c r="C1397" t="s">
        <v>13</v>
      </c>
      <c r="D1397" t="s">
        <v>975</v>
      </c>
      <c r="E1397" t="s">
        <v>1016</v>
      </c>
      <c r="F1397" t="s">
        <v>796</v>
      </c>
      <c r="G1397" t="str">
        <f>"00926020066"</f>
        <v>00926020066</v>
      </c>
      <c r="I1397" t="s">
        <v>1017</v>
      </c>
      <c r="L1397" t="s">
        <v>41</v>
      </c>
      <c r="M1397">
        <v>7438.47</v>
      </c>
      <c r="AG1397">
        <v>7438.47</v>
      </c>
      <c r="AH1397" s="1">
        <v>41288</v>
      </c>
      <c r="AI1397" s="1">
        <v>41420</v>
      </c>
      <c r="AJ1397" s="1">
        <v>41288</v>
      </c>
    </row>
    <row r="1398" spans="1:36" ht="15">
      <c r="A1398" t="str">
        <f>"2109805A27"</f>
        <v>2109805A27</v>
      </c>
      <c r="B1398" t="str">
        <f t="shared" si="66"/>
        <v>02406911202</v>
      </c>
      <c r="C1398" t="s">
        <v>13</v>
      </c>
      <c r="D1398" t="s">
        <v>975</v>
      </c>
      <c r="E1398" t="s">
        <v>979</v>
      </c>
      <c r="F1398" t="s">
        <v>796</v>
      </c>
      <c r="G1398" t="str">
        <f>"06065650159"</f>
        <v>06065650159</v>
      </c>
      <c r="I1398" t="s">
        <v>189</v>
      </c>
      <c r="L1398" t="s">
        <v>41</v>
      </c>
      <c r="M1398">
        <v>12089.61</v>
      </c>
      <c r="AG1398">
        <v>12089.61</v>
      </c>
      <c r="AH1398" s="1">
        <v>41310</v>
      </c>
      <c r="AI1398" s="1">
        <v>41547</v>
      </c>
      <c r="AJ1398" s="1">
        <v>41310</v>
      </c>
    </row>
    <row r="1399" spans="1:36" ht="15">
      <c r="A1399" t="str">
        <f>"2109945DAE"</f>
        <v>2109945DAE</v>
      </c>
      <c r="B1399" t="str">
        <f t="shared" si="66"/>
        <v>02406911202</v>
      </c>
      <c r="C1399" t="s">
        <v>13</v>
      </c>
      <c r="D1399" t="s">
        <v>975</v>
      </c>
      <c r="E1399" t="s">
        <v>1018</v>
      </c>
      <c r="F1399" t="s">
        <v>796</v>
      </c>
      <c r="G1399" t="str">
        <f>"06324460150"</f>
        <v>06324460150</v>
      </c>
      <c r="I1399" t="s">
        <v>166</v>
      </c>
      <c r="L1399" t="s">
        <v>45</v>
      </c>
      <c r="AJ1399" s="1">
        <v>41393</v>
      </c>
    </row>
    <row r="1400" spans="1:36" ht="15">
      <c r="A1400" t="str">
        <f>"215527907F"</f>
        <v>215527907F</v>
      </c>
      <c r="B1400" t="str">
        <f t="shared" si="66"/>
        <v>02406911202</v>
      </c>
      <c r="C1400" t="s">
        <v>13</v>
      </c>
      <c r="D1400" t="s">
        <v>975</v>
      </c>
      <c r="E1400" t="s">
        <v>1019</v>
      </c>
      <c r="F1400" t="s">
        <v>796</v>
      </c>
      <c r="G1400" t="str">
        <f>"10767630154"</f>
        <v>10767630154</v>
      </c>
      <c r="I1400" t="s">
        <v>1020</v>
      </c>
      <c r="L1400" t="s">
        <v>41</v>
      </c>
      <c r="M1400">
        <v>6634.09</v>
      </c>
      <c r="AG1400">
        <v>6634.09</v>
      </c>
      <c r="AH1400" s="1">
        <v>41299</v>
      </c>
      <c r="AI1400" s="1">
        <v>41594</v>
      </c>
      <c r="AJ1400" s="1">
        <v>41299</v>
      </c>
    </row>
    <row r="1401" spans="1:36" ht="15">
      <c r="A1401" t="str">
        <f>"2155932B5B"</f>
        <v>2155932B5B</v>
      </c>
      <c r="B1401" t="str">
        <f t="shared" si="66"/>
        <v>02406911202</v>
      </c>
      <c r="C1401" t="s">
        <v>13</v>
      </c>
      <c r="D1401" t="s">
        <v>975</v>
      </c>
      <c r="E1401" t="s">
        <v>1021</v>
      </c>
      <c r="F1401" t="s">
        <v>796</v>
      </c>
      <c r="G1401" t="str">
        <f>"03531280968"</f>
        <v>03531280968</v>
      </c>
      <c r="I1401" t="s">
        <v>1022</v>
      </c>
      <c r="L1401" t="s">
        <v>41</v>
      </c>
      <c r="M1401">
        <v>9446.36</v>
      </c>
      <c r="AG1401">
        <v>9446.36</v>
      </c>
      <c r="AH1401" s="1">
        <v>41281</v>
      </c>
      <c r="AI1401" s="1">
        <v>41476</v>
      </c>
      <c r="AJ1401" s="1">
        <v>41281</v>
      </c>
    </row>
    <row r="1402" spans="1:36" ht="15">
      <c r="A1402" t="str">
        <f>"2166114DCE"</f>
        <v>2166114DCE</v>
      </c>
      <c r="B1402" t="str">
        <f t="shared" si="66"/>
        <v>02406911202</v>
      </c>
      <c r="C1402" t="s">
        <v>13</v>
      </c>
      <c r="D1402" t="s">
        <v>975</v>
      </c>
      <c r="E1402" t="s">
        <v>979</v>
      </c>
      <c r="F1402" t="s">
        <v>796</v>
      </c>
      <c r="G1402" t="str">
        <f>"00492340583"</f>
        <v>00492340583</v>
      </c>
      <c r="I1402" t="s">
        <v>151</v>
      </c>
      <c r="L1402" t="s">
        <v>41</v>
      </c>
      <c r="M1402">
        <v>13212.06</v>
      </c>
      <c r="AG1402">
        <v>13212.06</v>
      </c>
      <c r="AH1402" s="1">
        <v>41305</v>
      </c>
      <c r="AI1402" s="1">
        <v>41628</v>
      </c>
      <c r="AJ1402" s="1">
        <v>41305</v>
      </c>
    </row>
    <row r="1403" spans="1:36" ht="15">
      <c r="A1403" t="str">
        <f>"2214878F21"</f>
        <v>2214878F21</v>
      </c>
      <c r="B1403" t="str">
        <f t="shared" si="66"/>
        <v>02406911202</v>
      </c>
      <c r="C1403" t="s">
        <v>13</v>
      </c>
      <c r="D1403" t="s">
        <v>975</v>
      </c>
      <c r="E1403" t="s">
        <v>980</v>
      </c>
      <c r="F1403" t="s">
        <v>796</v>
      </c>
      <c r="G1403" t="str">
        <f>"02258940960"</f>
        <v>02258940960</v>
      </c>
      <c r="I1403" t="s">
        <v>1023</v>
      </c>
      <c r="L1403" t="s">
        <v>41</v>
      </c>
      <c r="M1403">
        <v>7064</v>
      </c>
      <c r="AG1403">
        <v>7064</v>
      </c>
      <c r="AH1403" s="1">
        <v>41290</v>
      </c>
      <c r="AI1403" s="1">
        <v>41365</v>
      </c>
      <c r="AJ1403" s="1">
        <v>41290</v>
      </c>
    </row>
    <row r="1404" spans="1:36" ht="15">
      <c r="A1404" t="str">
        <f>"2245491DC7"</f>
        <v>2245491DC7</v>
      </c>
      <c r="B1404" t="str">
        <f t="shared" si="66"/>
        <v>02406911202</v>
      </c>
      <c r="C1404" t="s">
        <v>13</v>
      </c>
      <c r="D1404" t="s">
        <v>975</v>
      </c>
      <c r="E1404" t="s">
        <v>1024</v>
      </c>
      <c r="F1404" t="s">
        <v>796</v>
      </c>
      <c r="G1404" t="str">
        <f>"10616310156"</f>
        <v>10616310156</v>
      </c>
      <c r="I1404" t="s">
        <v>696</v>
      </c>
      <c r="L1404" t="s">
        <v>41</v>
      </c>
      <c r="M1404">
        <v>11375</v>
      </c>
      <c r="AG1404">
        <v>11375</v>
      </c>
      <c r="AH1404" s="1">
        <v>41341</v>
      </c>
      <c r="AI1404" s="1">
        <v>41470</v>
      </c>
      <c r="AJ1404" s="1">
        <v>41341</v>
      </c>
    </row>
    <row r="1405" spans="1:36" ht="15">
      <c r="A1405" t="str">
        <f>"2281841AC0"</f>
        <v>2281841AC0</v>
      </c>
      <c r="B1405" t="str">
        <f t="shared" si="66"/>
        <v>02406911202</v>
      </c>
      <c r="C1405" t="s">
        <v>13</v>
      </c>
      <c r="D1405" t="s">
        <v>975</v>
      </c>
      <c r="E1405" t="s">
        <v>1025</v>
      </c>
      <c r="F1405" t="s">
        <v>796</v>
      </c>
      <c r="G1405" t="str">
        <f>"08126390155"</f>
        <v>08126390155</v>
      </c>
      <c r="I1405" t="s">
        <v>1026</v>
      </c>
      <c r="L1405" t="s">
        <v>41</v>
      </c>
      <c r="M1405">
        <v>5466.78</v>
      </c>
      <c r="AG1405">
        <v>5466.78</v>
      </c>
      <c r="AH1405" s="1">
        <v>41313</v>
      </c>
      <c r="AI1405" s="1">
        <v>41350</v>
      </c>
      <c r="AJ1405" s="1">
        <v>41313</v>
      </c>
    </row>
    <row r="1406" spans="1:36" ht="15">
      <c r="A1406" t="str">
        <f>"2293300B04"</f>
        <v>2293300B04</v>
      </c>
      <c r="B1406" t="str">
        <f t="shared" si="66"/>
        <v>02406911202</v>
      </c>
      <c r="C1406" t="s">
        <v>13</v>
      </c>
      <c r="D1406" t="s">
        <v>975</v>
      </c>
      <c r="E1406" t="s">
        <v>1027</v>
      </c>
      <c r="F1406" t="s">
        <v>796</v>
      </c>
      <c r="G1406" t="str">
        <f>"00803890151"</f>
        <v>00803890151</v>
      </c>
      <c r="I1406" t="s">
        <v>742</v>
      </c>
      <c r="L1406" t="s">
        <v>41</v>
      </c>
      <c r="M1406">
        <v>3561.58</v>
      </c>
      <c r="AG1406">
        <v>3561.58</v>
      </c>
      <c r="AH1406" s="1">
        <v>41449</v>
      </c>
      <c r="AI1406" s="1">
        <v>41459</v>
      </c>
      <c r="AJ1406" s="1">
        <v>41449</v>
      </c>
    </row>
    <row r="1407" spans="1:36" ht="15">
      <c r="A1407" t="str">
        <f>"2293476C41"</f>
        <v>2293476C41</v>
      </c>
      <c r="B1407" t="str">
        <f t="shared" si="66"/>
        <v>02406911202</v>
      </c>
      <c r="C1407" t="s">
        <v>13</v>
      </c>
      <c r="D1407" t="s">
        <v>975</v>
      </c>
      <c r="E1407" t="s">
        <v>1028</v>
      </c>
      <c r="F1407" t="s">
        <v>796</v>
      </c>
      <c r="G1407" t="str">
        <f>"00176010346"</f>
        <v>00176010346</v>
      </c>
      <c r="I1407" t="s">
        <v>1029</v>
      </c>
      <c r="L1407" t="s">
        <v>41</v>
      </c>
      <c r="M1407">
        <v>7894.75</v>
      </c>
      <c r="AG1407">
        <v>7894.75</v>
      </c>
      <c r="AH1407" s="1">
        <v>41341</v>
      </c>
      <c r="AI1407" s="1">
        <v>41446</v>
      </c>
      <c r="AJ1407" s="1">
        <v>41341</v>
      </c>
    </row>
    <row r="1408" spans="1:36" ht="15">
      <c r="A1408" t="str">
        <f>"2298671B4E"</f>
        <v>2298671B4E</v>
      </c>
      <c r="B1408" t="str">
        <f t="shared" si="66"/>
        <v>02406911202</v>
      </c>
      <c r="C1408" t="s">
        <v>13</v>
      </c>
      <c r="D1408" t="s">
        <v>975</v>
      </c>
      <c r="E1408" t="s">
        <v>1030</v>
      </c>
      <c r="F1408" t="s">
        <v>796</v>
      </c>
      <c r="G1408" t="str">
        <f>"01148870155"</f>
        <v>01148870155</v>
      </c>
      <c r="I1408" t="s">
        <v>1031</v>
      </c>
      <c r="L1408" t="s">
        <v>41</v>
      </c>
      <c r="M1408">
        <v>1436.16</v>
      </c>
      <c r="AG1408">
        <v>1436.16</v>
      </c>
      <c r="AH1408" s="1">
        <v>41295</v>
      </c>
      <c r="AI1408" s="1">
        <v>41505</v>
      </c>
      <c r="AJ1408" s="1">
        <v>41295</v>
      </c>
    </row>
    <row r="1409" spans="1:36" ht="15">
      <c r="A1409" t="str">
        <f>"2320038BE9"</f>
        <v>2320038BE9</v>
      </c>
      <c r="B1409" t="str">
        <f t="shared" si="66"/>
        <v>02406911202</v>
      </c>
      <c r="C1409" t="s">
        <v>13</v>
      </c>
      <c r="D1409" t="s">
        <v>975</v>
      </c>
      <c r="E1409" t="s">
        <v>1032</v>
      </c>
      <c r="F1409" t="s">
        <v>796</v>
      </c>
      <c r="G1409" t="str">
        <f>"09693591001"</f>
        <v>09693591001</v>
      </c>
      <c r="I1409" t="s">
        <v>1033</v>
      </c>
      <c r="L1409" t="s">
        <v>41</v>
      </c>
      <c r="M1409">
        <v>2310</v>
      </c>
      <c r="AG1409">
        <v>2310</v>
      </c>
      <c r="AH1409" s="1">
        <v>41458</v>
      </c>
      <c r="AI1409" s="1">
        <v>41468</v>
      </c>
      <c r="AJ1409" s="1">
        <v>41458</v>
      </c>
    </row>
    <row r="1410" spans="1:36" ht="15">
      <c r="A1410" t="str">
        <f>"2359124AB3"</f>
        <v>2359124AB3</v>
      </c>
      <c r="B1410" t="str">
        <f aca="true" t="shared" si="67" ref="B1410:B1473">"02406911202"</f>
        <v>02406911202</v>
      </c>
      <c r="C1410" t="s">
        <v>13</v>
      </c>
      <c r="D1410" t="s">
        <v>975</v>
      </c>
      <c r="E1410" t="s">
        <v>1034</v>
      </c>
      <c r="F1410" t="s">
        <v>796</v>
      </c>
      <c r="G1410" t="str">
        <f>"09699320017"</f>
        <v>09699320017</v>
      </c>
      <c r="I1410" t="s">
        <v>253</v>
      </c>
      <c r="L1410" t="s">
        <v>41</v>
      </c>
      <c r="M1410">
        <v>639</v>
      </c>
      <c r="AG1410">
        <v>639</v>
      </c>
      <c r="AH1410" s="1">
        <v>41578</v>
      </c>
      <c r="AI1410" s="1">
        <v>41588</v>
      </c>
      <c r="AJ1410" s="1">
        <v>41578</v>
      </c>
    </row>
    <row r="1411" spans="1:36" ht="15">
      <c r="A1411" t="str">
        <f>"24757762FC"</f>
        <v>24757762FC</v>
      </c>
      <c r="B1411" t="str">
        <f t="shared" si="67"/>
        <v>02406911202</v>
      </c>
      <c r="C1411" t="s">
        <v>13</v>
      </c>
      <c r="D1411" t="s">
        <v>975</v>
      </c>
      <c r="E1411" t="s">
        <v>1035</v>
      </c>
      <c r="F1411" t="s">
        <v>796</v>
      </c>
      <c r="G1411" t="str">
        <f>"00495451205"</f>
        <v>00495451205</v>
      </c>
      <c r="I1411" t="s">
        <v>183</v>
      </c>
      <c r="L1411" t="s">
        <v>41</v>
      </c>
      <c r="M1411">
        <v>1856.35</v>
      </c>
      <c r="AG1411">
        <v>2146.77</v>
      </c>
      <c r="AH1411" s="1">
        <v>41282</v>
      </c>
      <c r="AI1411" s="1">
        <v>41558</v>
      </c>
      <c r="AJ1411" s="1">
        <v>41282</v>
      </c>
    </row>
    <row r="1412" spans="1:36" ht="15">
      <c r="A1412" t="str">
        <f>"24820203B2"</f>
        <v>24820203B2</v>
      </c>
      <c r="B1412" t="str">
        <f t="shared" si="67"/>
        <v>02406911202</v>
      </c>
      <c r="C1412" t="s">
        <v>13</v>
      </c>
      <c r="D1412" t="s">
        <v>975</v>
      </c>
      <c r="E1412" t="s">
        <v>1036</v>
      </c>
      <c r="F1412" t="s">
        <v>796</v>
      </c>
      <c r="G1412" t="str">
        <f>"02501461202"</f>
        <v>02501461202</v>
      </c>
      <c r="I1412" t="s">
        <v>1037</v>
      </c>
      <c r="L1412" t="s">
        <v>41</v>
      </c>
      <c r="M1412">
        <v>5897.55</v>
      </c>
      <c r="AG1412">
        <v>5897.55</v>
      </c>
      <c r="AH1412" s="1">
        <v>41282</v>
      </c>
      <c r="AI1412" s="1">
        <v>41363</v>
      </c>
      <c r="AJ1412" s="1">
        <v>41282</v>
      </c>
    </row>
    <row r="1413" spans="1:36" ht="15">
      <c r="A1413" t="str">
        <f>"2494887DDE"</f>
        <v>2494887DDE</v>
      </c>
      <c r="B1413" t="str">
        <f t="shared" si="67"/>
        <v>02406911202</v>
      </c>
      <c r="C1413" t="s">
        <v>13</v>
      </c>
      <c r="D1413" t="s">
        <v>975</v>
      </c>
      <c r="E1413" t="s">
        <v>979</v>
      </c>
      <c r="F1413" t="s">
        <v>796</v>
      </c>
      <c r="G1413" t="str">
        <f>"11584260159"</f>
        <v>11584260159</v>
      </c>
      <c r="I1413" t="s">
        <v>1038</v>
      </c>
      <c r="L1413" t="s">
        <v>41</v>
      </c>
      <c r="M1413">
        <v>1960</v>
      </c>
      <c r="AG1413">
        <v>1960</v>
      </c>
      <c r="AH1413" s="1">
        <v>41388</v>
      </c>
      <c r="AI1413" s="1">
        <v>41398</v>
      </c>
      <c r="AJ1413" s="1">
        <v>41388</v>
      </c>
    </row>
    <row r="1414" spans="1:36" ht="15">
      <c r="A1414" t="str">
        <f>"25886605CE"</f>
        <v>25886605CE</v>
      </c>
      <c r="B1414" t="str">
        <f t="shared" si="67"/>
        <v>02406911202</v>
      </c>
      <c r="C1414" t="s">
        <v>13</v>
      </c>
      <c r="D1414" t="s">
        <v>975</v>
      </c>
      <c r="E1414" t="s">
        <v>1039</v>
      </c>
      <c r="F1414" t="s">
        <v>796</v>
      </c>
      <c r="G1414" t="str">
        <f>"00847380961"</f>
        <v>00847380961</v>
      </c>
      <c r="I1414" t="s">
        <v>98</v>
      </c>
      <c r="L1414" t="s">
        <v>41</v>
      </c>
      <c r="M1414">
        <v>6040</v>
      </c>
      <c r="AG1414">
        <v>6040</v>
      </c>
      <c r="AH1414" s="1">
        <v>41446</v>
      </c>
      <c r="AI1414" s="1">
        <v>41558</v>
      </c>
      <c r="AJ1414" s="1">
        <v>41446</v>
      </c>
    </row>
    <row r="1415" spans="1:36" ht="15">
      <c r="A1415" t="str">
        <f>"2635573FAO"</f>
        <v>2635573FAO</v>
      </c>
      <c r="B1415" t="str">
        <f t="shared" si="67"/>
        <v>02406911202</v>
      </c>
      <c r="C1415" t="s">
        <v>13</v>
      </c>
      <c r="D1415" t="s">
        <v>975</v>
      </c>
      <c r="E1415" t="s">
        <v>1040</v>
      </c>
      <c r="F1415" t="s">
        <v>796</v>
      </c>
      <c r="G1415" t="str">
        <f>"11873880154"</f>
        <v>11873880154</v>
      </c>
      <c r="I1415" t="s">
        <v>1041</v>
      </c>
      <c r="L1415" t="s">
        <v>41</v>
      </c>
      <c r="M1415">
        <v>2133</v>
      </c>
      <c r="AG1415">
        <v>2133</v>
      </c>
      <c r="AH1415" s="1">
        <v>41305</v>
      </c>
      <c r="AI1415" s="1">
        <v>41537</v>
      </c>
      <c r="AJ1415" s="1">
        <v>41305</v>
      </c>
    </row>
    <row r="1416" spans="1:36" ht="15">
      <c r="A1416" t="str">
        <f>"26558794AE"</f>
        <v>26558794AE</v>
      </c>
      <c r="B1416" t="str">
        <f t="shared" si="67"/>
        <v>02406911202</v>
      </c>
      <c r="C1416" t="s">
        <v>13</v>
      </c>
      <c r="D1416" t="s">
        <v>975</v>
      </c>
      <c r="E1416" t="s">
        <v>991</v>
      </c>
      <c r="F1416" t="s">
        <v>796</v>
      </c>
      <c r="G1416" t="str">
        <f>"00795130285"</f>
        <v>00795130285</v>
      </c>
      <c r="I1416" t="s">
        <v>1042</v>
      </c>
      <c r="L1416" t="s">
        <v>41</v>
      </c>
      <c r="M1416">
        <v>1231</v>
      </c>
      <c r="AG1416">
        <v>1231</v>
      </c>
      <c r="AH1416" s="1">
        <v>41304</v>
      </c>
      <c r="AI1416" s="1">
        <v>41314</v>
      </c>
      <c r="AJ1416" s="1">
        <v>41304</v>
      </c>
    </row>
    <row r="1417" spans="1:36" ht="15">
      <c r="A1417" t="str">
        <f>"26597585BB"</f>
        <v>26597585BB</v>
      </c>
      <c r="B1417" t="str">
        <f t="shared" si="67"/>
        <v>02406911202</v>
      </c>
      <c r="C1417" t="s">
        <v>13</v>
      </c>
      <c r="D1417" t="s">
        <v>975</v>
      </c>
      <c r="E1417" t="s">
        <v>1043</v>
      </c>
      <c r="F1417" t="s">
        <v>796</v>
      </c>
      <c r="G1417" t="str">
        <f>"01063890394"</f>
        <v>01063890394</v>
      </c>
      <c r="I1417" t="s">
        <v>560</v>
      </c>
      <c r="L1417" t="s">
        <v>41</v>
      </c>
      <c r="M1417">
        <v>3936</v>
      </c>
      <c r="AG1417">
        <v>3936</v>
      </c>
      <c r="AH1417" s="1">
        <v>41323</v>
      </c>
      <c r="AI1417" s="1">
        <v>41553</v>
      </c>
      <c r="AJ1417" s="1">
        <v>41323</v>
      </c>
    </row>
    <row r="1418" spans="1:36" ht="15">
      <c r="A1418" t="str">
        <f>"2687355B7D"</f>
        <v>2687355B7D</v>
      </c>
      <c r="B1418" t="str">
        <f t="shared" si="67"/>
        <v>02406911202</v>
      </c>
      <c r="C1418" t="s">
        <v>13</v>
      </c>
      <c r="D1418" t="s">
        <v>975</v>
      </c>
      <c r="E1418" t="s">
        <v>1044</v>
      </c>
      <c r="F1418" t="s">
        <v>796</v>
      </c>
      <c r="G1418" t="str">
        <f>"00857610968"</f>
        <v>00857610968</v>
      </c>
      <c r="I1418" t="s">
        <v>1045</v>
      </c>
      <c r="L1418" t="s">
        <v>41</v>
      </c>
      <c r="M1418">
        <v>1080.63</v>
      </c>
      <c r="AG1418">
        <v>1080.63</v>
      </c>
      <c r="AH1418" s="1">
        <v>41278</v>
      </c>
      <c r="AI1418" s="1">
        <v>41496</v>
      </c>
      <c r="AJ1418" s="1">
        <v>41278</v>
      </c>
    </row>
    <row r="1419" spans="1:36" ht="15">
      <c r="A1419" t="str">
        <f>"Z0005CDA7C"</f>
        <v>Z0005CDA7C</v>
      </c>
      <c r="B1419" t="str">
        <f t="shared" si="67"/>
        <v>02406911202</v>
      </c>
      <c r="C1419" t="s">
        <v>13</v>
      </c>
      <c r="D1419" t="s">
        <v>975</v>
      </c>
      <c r="E1419" t="s">
        <v>1046</v>
      </c>
      <c r="F1419" t="s">
        <v>796</v>
      </c>
      <c r="G1419" t="str">
        <f>"02285250268"</f>
        <v>02285250268</v>
      </c>
      <c r="I1419" t="s">
        <v>564</v>
      </c>
      <c r="L1419" t="s">
        <v>41</v>
      </c>
      <c r="M1419">
        <v>1149.2</v>
      </c>
      <c r="AG1419">
        <v>1237.59</v>
      </c>
      <c r="AH1419" s="1">
        <v>41304</v>
      </c>
      <c r="AI1419" s="1">
        <v>41587</v>
      </c>
      <c r="AJ1419" s="1">
        <v>41304</v>
      </c>
    </row>
    <row r="1420" spans="1:36" ht="15">
      <c r="A1420" t="str">
        <f>"Z0405EDE4F"</f>
        <v>Z0405EDE4F</v>
      </c>
      <c r="B1420" t="str">
        <f t="shared" si="67"/>
        <v>02406911202</v>
      </c>
      <c r="C1420" t="s">
        <v>13</v>
      </c>
      <c r="D1420" t="s">
        <v>975</v>
      </c>
      <c r="E1420" t="s">
        <v>1047</v>
      </c>
      <c r="F1420" t="s">
        <v>796</v>
      </c>
      <c r="G1420" t="str">
        <f>"03981260239"</f>
        <v>03981260239</v>
      </c>
      <c r="I1420" t="s">
        <v>1048</v>
      </c>
      <c r="L1420" t="s">
        <v>41</v>
      </c>
      <c r="M1420">
        <v>7022.92</v>
      </c>
      <c r="AG1420">
        <v>7022.92</v>
      </c>
      <c r="AH1420" s="1">
        <v>41284</v>
      </c>
      <c r="AI1420" s="1">
        <v>41622</v>
      </c>
      <c r="AJ1420" s="1">
        <v>41284</v>
      </c>
    </row>
    <row r="1421" spans="1:36" ht="15">
      <c r="A1421" t="str">
        <f>"Z0607FA6AE"</f>
        <v>Z0607FA6AE</v>
      </c>
      <c r="B1421" t="str">
        <f t="shared" si="67"/>
        <v>02406911202</v>
      </c>
      <c r="C1421" t="s">
        <v>13</v>
      </c>
      <c r="D1421" t="s">
        <v>975</v>
      </c>
      <c r="E1421" t="s">
        <v>1049</v>
      </c>
      <c r="F1421" t="s">
        <v>796</v>
      </c>
      <c r="G1421" t="str">
        <f>"06064180968"</f>
        <v>06064180968</v>
      </c>
      <c r="I1421" t="s">
        <v>1050</v>
      </c>
      <c r="L1421" t="s">
        <v>41</v>
      </c>
      <c r="M1421">
        <v>95</v>
      </c>
      <c r="AG1421">
        <v>95</v>
      </c>
      <c r="AH1421" s="1">
        <v>41288</v>
      </c>
      <c r="AI1421" s="1">
        <v>41298</v>
      </c>
      <c r="AJ1421" s="1">
        <v>41288</v>
      </c>
    </row>
    <row r="1422" spans="1:36" ht="15">
      <c r="A1422" t="str">
        <f>"Z06090644F"</f>
        <v>Z06090644F</v>
      </c>
      <c r="B1422" t="str">
        <f t="shared" si="67"/>
        <v>02406911202</v>
      </c>
      <c r="C1422" t="s">
        <v>13</v>
      </c>
      <c r="D1422" t="s">
        <v>975</v>
      </c>
      <c r="E1422" t="s">
        <v>1051</v>
      </c>
      <c r="F1422" t="s">
        <v>796</v>
      </c>
      <c r="G1422" t="str">
        <f>"03112531201"</f>
        <v>03112531201</v>
      </c>
      <c r="I1422" t="s">
        <v>990</v>
      </c>
      <c r="L1422" t="s">
        <v>41</v>
      </c>
      <c r="M1422">
        <v>864</v>
      </c>
      <c r="AG1422">
        <v>864</v>
      </c>
      <c r="AH1422" s="1">
        <v>41341</v>
      </c>
      <c r="AI1422" s="1">
        <v>41419</v>
      </c>
      <c r="AJ1422" s="1">
        <v>41341</v>
      </c>
    </row>
    <row r="1423" spans="1:36" ht="15">
      <c r="A1423" t="str">
        <f>"Z060ABCB90"</f>
        <v>Z060ABCB90</v>
      </c>
      <c r="B1423" t="str">
        <f t="shared" si="67"/>
        <v>02406911202</v>
      </c>
      <c r="C1423" t="s">
        <v>13</v>
      </c>
      <c r="D1423" t="s">
        <v>975</v>
      </c>
      <c r="E1423" t="s">
        <v>979</v>
      </c>
      <c r="F1423" t="s">
        <v>796</v>
      </c>
      <c r="G1423" t="str">
        <f>"07351260158"</f>
        <v>07351260158</v>
      </c>
      <c r="I1423" t="s">
        <v>1052</v>
      </c>
      <c r="L1423" t="s">
        <v>41</v>
      </c>
      <c r="M1423">
        <v>4675.43</v>
      </c>
      <c r="AG1423">
        <v>4670.43</v>
      </c>
      <c r="AH1423" s="1">
        <v>41466</v>
      </c>
      <c r="AI1423" s="1">
        <v>41614</v>
      </c>
      <c r="AJ1423" s="1">
        <v>41466</v>
      </c>
    </row>
    <row r="1424" spans="1:36" ht="15">
      <c r="A1424" t="str">
        <f>"Z070AE3F55"</f>
        <v>Z070AE3F55</v>
      </c>
      <c r="B1424" t="str">
        <f t="shared" si="67"/>
        <v>02406911202</v>
      </c>
      <c r="C1424" t="s">
        <v>13</v>
      </c>
      <c r="D1424" t="s">
        <v>975</v>
      </c>
      <c r="E1424" t="s">
        <v>1053</v>
      </c>
      <c r="F1424" t="s">
        <v>796</v>
      </c>
      <c r="G1424" t="str">
        <f>"00972790109"</f>
        <v>00972790109</v>
      </c>
      <c r="I1424" t="s">
        <v>543</v>
      </c>
      <c r="L1424" t="s">
        <v>41</v>
      </c>
      <c r="M1424">
        <v>19752.88</v>
      </c>
      <c r="AG1424">
        <v>19752.9</v>
      </c>
      <c r="AH1424" s="1">
        <v>41479</v>
      </c>
      <c r="AI1424" s="1">
        <v>41550</v>
      </c>
      <c r="AJ1424" s="1">
        <v>41479</v>
      </c>
    </row>
    <row r="1425" spans="1:36" ht="15">
      <c r="A1425" t="str">
        <f>"Z0809A8F03"</f>
        <v>Z0809A8F03</v>
      </c>
      <c r="B1425" t="str">
        <f t="shared" si="67"/>
        <v>02406911202</v>
      </c>
      <c r="C1425" t="s">
        <v>13</v>
      </c>
      <c r="D1425" t="s">
        <v>975</v>
      </c>
      <c r="E1425" t="s">
        <v>1054</v>
      </c>
      <c r="F1425" t="s">
        <v>796</v>
      </c>
      <c r="G1425" t="str">
        <f>"12512890158"</f>
        <v>12512890158</v>
      </c>
      <c r="I1425" t="s">
        <v>540</v>
      </c>
      <c r="L1425" t="s">
        <v>41</v>
      </c>
      <c r="M1425">
        <v>7233.62</v>
      </c>
      <c r="AG1425">
        <v>7233.62</v>
      </c>
      <c r="AH1425" s="1">
        <v>41388</v>
      </c>
      <c r="AI1425" s="1">
        <v>41573</v>
      </c>
      <c r="AJ1425" s="1">
        <v>41388</v>
      </c>
    </row>
    <row r="1426" spans="1:36" ht="15">
      <c r="A1426" t="str">
        <f>"Z0E079446F"</f>
        <v>Z0E079446F</v>
      </c>
      <c r="B1426" t="str">
        <f t="shared" si="67"/>
        <v>02406911202</v>
      </c>
      <c r="C1426" t="s">
        <v>13</v>
      </c>
      <c r="D1426" t="s">
        <v>975</v>
      </c>
      <c r="E1426" t="s">
        <v>1055</v>
      </c>
      <c r="F1426" t="s">
        <v>796</v>
      </c>
      <c r="G1426" t="str">
        <f>"10994940152"</f>
        <v>10994940152</v>
      </c>
      <c r="I1426" t="s">
        <v>755</v>
      </c>
      <c r="L1426" t="s">
        <v>41</v>
      </c>
      <c r="M1426">
        <v>9664</v>
      </c>
      <c r="AG1426">
        <v>9989</v>
      </c>
      <c r="AH1426" s="1">
        <v>41281</v>
      </c>
      <c r="AI1426" s="1">
        <v>41495</v>
      </c>
      <c r="AJ1426" s="1">
        <v>41281</v>
      </c>
    </row>
    <row r="1427" spans="1:36" ht="15">
      <c r="A1427" t="str">
        <f>"Z100073E75"</f>
        <v>Z100073E75</v>
      </c>
      <c r="B1427" t="str">
        <f t="shared" si="67"/>
        <v>02406911202</v>
      </c>
      <c r="C1427" t="s">
        <v>13</v>
      </c>
      <c r="D1427" t="s">
        <v>975</v>
      </c>
      <c r="E1427" t="s">
        <v>991</v>
      </c>
      <c r="F1427" t="s">
        <v>796</v>
      </c>
      <c r="G1427" t="str">
        <f>"00688220961"</f>
        <v>00688220961</v>
      </c>
      <c r="I1427" t="s">
        <v>1056</v>
      </c>
      <c r="L1427" t="s">
        <v>41</v>
      </c>
      <c r="M1427">
        <v>2920.03</v>
      </c>
      <c r="AG1427">
        <v>2920.03</v>
      </c>
      <c r="AH1427" s="1">
        <v>41298</v>
      </c>
      <c r="AI1427" s="1">
        <v>41308</v>
      </c>
      <c r="AJ1427" s="1">
        <v>41298</v>
      </c>
    </row>
    <row r="1428" spans="1:36" ht="15">
      <c r="A1428" t="str">
        <f>"Z1008DFC54"</f>
        <v>Z1008DFC54</v>
      </c>
      <c r="B1428" t="str">
        <f t="shared" si="67"/>
        <v>02406911202</v>
      </c>
      <c r="C1428" t="s">
        <v>13</v>
      </c>
      <c r="D1428" t="s">
        <v>975</v>
      </c>
      <c r="E1428" t="s">
        <v>979</v>
      </c>
      <c r="F1428" t="s">
        <v>796</v>
      </c>
      <c r="G1428" t="str">
        <f>"02111430357"</f>
        <v>02111430357</v>
      </c>
      <c r="I1428" t="s">
        <v>1057</v>
      </c>
      <c r="L1428" t="s">
        <v>41</v>
      </c>
      <c r="M1428">
        <v>18000</v>
      </c>
      <c r="AG1428">
        <v>13500</v>
      </c>
      <c r="AH1428" s="1">
        <v>41332</v>
      </c>
      <c r="AI1428" s="1">
        <v>41608</v>
      </c>
      <c r="AJ1428" s="1">
        <v>41332</v>
      </c>
    </row>
    <row r="1429" spans="1:36" ht="15">
      <c r="A1429" t="str">
        <f>"Z1102283AA"</f>
        <v>Z1102283AA</v>
      </c>
      <c r="B1429" t="str">
        <f t="shared" si="67"/>
        <v>02406911202</v>
      </c>
      <c r="C1429" t="s">
        <v>13</v>
      </c>
      <c r="D1429" t="s">
        <v>975</v>
      </c>
      <c r="E1429" t="s">
        <v>1058</v>
      </c>
      <c r="F1429" t="s">
        <v>796</v>
      </c>
      <c r="G1429" t="str">
        <f>"01406590289"</f>
        <v>01406590289</v>
      </c>
      <c r="I1429" t="s">
        <v>1059</v>
      </c>
      <c r="L1429" t="s">
        <v>41</v>
      </c>
      <c r="M1429">
        <v>267</v>
      </c>
      <c r="AG1429">
        <v>267</v>
      </c>
      <c r="AH1429" s="1">
        <v>41326</v>
      </c>
      <c r="AI1429" s="1">
        <v>41403</v>
      </c>
      <c r="AJ1429" s="1">
        <v>41326</v>
      </c>
    </row>
    <row r="1430" spans="1:36" ht="15">
      <c r="A1430" t="str">
        <f>"Z1103585BB"</f>
        <v>Z1103585BB</v>
      </c>
      <c r="B1430" t="str">
        <f t="shared" si="67"/>
        <v>02406911202</v>
      </c>
      <c r="C1430" t="s">
        <v>13</v>
      </c>
      <c r="D1430" t="s">
        <v>975</v>
      </c>
      <c r="E1430" t="s">
        <v>1060</v>
      </c>
      <c r="F1430" t="s">
        <v>796</v>
      </c>
      <c r="G1430" t="str">
        <f>"09732811006"</f>
        <v>09732811006</v>
      </c>
      <c r="I1430" t="s">
        <v>1061</v>
      </c>
      <c r="L1430" t="s">
        <v>41</v>
      </c>
      <c r="M1430">
        <v>725</v>
      </c>
      <c r="AG1430">
        <v>725</v>
      </c>
      <c r="AH1430" s="1">
        <v>41442</v>
      </c>
      <c r="AI1430" s="1">
        <v>41452</v>
      </c>
      <c r="AJ1430" s="1">
        <v>41442</v>
      </c>
    </row>
    <row r="1431" spans="1:36" ht="15">
      <c r="A1431" t="str">
        <f>"Z170543000"</f>
        <v>Z170543000</v>
      </c>
      <c r="B1431" t="str">
        <f t="shared" si="67"/>
        <v>02406911202</v>
      </c>
      <c r="C1431" t="s">
        <v>13</v>
      </c>
      <c r="D1431" t="s">
        <v>975</v>
      </c>
      <c r="E1431" t="s">
        <v>1062</v>
      </c>
      <c r="F1431" t="s">
        <v>796</v>
      </c>
      <c r="G1431" t="str">
        <f>"00725050157"</f>
        <v>00725050157</v>
      </c>
      <c r="I1431" t="s">
        <v>174</v>
      </c>
      <c r="L1431" t="s">
        <v>41</v>
      </c>
      <c r="M1431">
        <v>20262</v>
      </c>
      <c r="AG1431">
        <v>20262</v>
      </c>
      <c r="AH1431" s="1">
        <v>41298</v>
      </c>
      <c r="AI1431" s="1">
        <v>41424</v>
      </c>
      <c r="AJ1431" s="1">
        <v>41298</v>
      </c>
    </row>
    <row r="1432" spans="1:36" ht="15">
      <c r="A1432" t="str">
        <f>"Z1D098146D"</f>
        <v>Z1D098146D</v>
      </c>
      <c r="B1432" t="str">
        <f t="shared" si="67"/>
        <v>02406911202</v>
      </c>
      <c r="C1432" t="s">
        <v>13</v>
      </c>
      <c r="D1432" t="s">
        <v>975</v>
      </c>
      <c r="E1432" t="s">
        <v>1054</v>
      </c>
      <c r="F1432" t="s">
        <v>796</v>
      </c>
      <c r="G1432" t="str">
        <f>"02018520508"</f>
        <v>02018520508</v>
      </c>
      <c r="I1432" t="s">
        <v>1063</v>
      </c>
      <c r="L1432" t="s">
        <v>41</v>
      </c>
      <c r="M1432">
        <v>2747.2</v>
      </c>
      <c r="AG1432">
        <v>2747.2</v>
      </c>
      <c r="AH1432" s="1">
        <v>41380</v>
      </c>
      <c r="AI1432" s="1">
        <v>41390</v>
      </c>
      <c r="AJ1432" s="1">
        <v>41380</v>
      </c>
    </row>
    <row r="1433" spans="1:36" ht="15">
      <c r="A1433" t="str">
        <f>"Z22089EC00"</f>
        <v>Z22089EC00</v>
      </c>
      <c r="B1433" t="str">
        <f t="shared" si="67"/>
        <v>02406911202</v>
      </c>
      <c r="C1433" t="s">
        <v>13</v>
      </c>
      <c r="D1433" t="s">
        <v>975</v>
      </c>
      <c r="E1433" t="s">
        <v>1064</v>
      </c>
      <c r="F1433" t="s">
        <v>796</v>
      </c>
      <c r="G1433" t="str">
        <f>"02006400960"</f>
        <v>02006400960</v>
      </c>
      <c r="I1433" t="s">
        <v>482</v>
      </c>
      <c r="L1433" t="s">
        <v>41</v>
      </c>
      <c r="M1433">
        <v>35345.18</v>
      </c>
      <c r="AG1433">
        <v>35345.18</v>
      </c>
      <c r="AH1433" s="1">
        <v>41317</v>
      </c>
      <c r="AI1433" s="1">
        <v>41620</v>
      </c>
      <c r="AJ1433" s="1">
        <v>41317</v>
      </c>
    </row>
    <row r="1434" spans="1:36" ht="15">
      <c r="A1434" t="str">
        <f>"Z2209784AA"</f>
        <v>Z2209784AA</v>
      </c>
      <c r="B1434" t="str">
        <f t="shared" si="67"/>
        <v>02406911202</v>
      </c>
      <c r="C1434" t="s">
        <v>13</v>
      </c>
      <c r="D1434" t="s">
        <v>975</v>
      </c>
      <c r="E1434" t="s">
        <v>1054</v>
      </c>
      <c r="F1434" t="s">
        <v>796</v>
      </c>
      <c r="G1434" t="str">
        <f>"01719510602"</f>
        <v>01719510602</v>
      </c>
      <c r="I1434" t="s">
        <v>1065</v>
      </c>
      <c r="L1434" t="s">
        <v>41</v>
      </c>
      <c r="M1434">
        <v>2446.19</v>
      </c>
      <c r="AG1434">
        <v>1677.6</v>
      </c>
      <c r="AH1434" s="1">
        <v>41383</v>
      </c>
      <c r="AI1434" s="1">
        <v>41438</v>
      </c>
      <c r="AJ1434" s="1">
        <v>41383</v>
      </c>
    </row>
    <row r="1435" spans="1:36" ht="15">
      <c r="A1435" t="str">
        <f>"Z2805625AE"</f>
        <v>Z2805625AE</v>
      </c>
      <c r="B1435" t="str">
        <f t="shared" si="67"/>
        <v>02406911202</v>
      </c>
      <c r="C1435" t="s">
        <v>13</v>
      </c>
      <c r="D1435" t="s">
        <v>975</v>
      </c>
      <c r="E1435" t="s">
        <v>979</v>
      </c>
      <c r="F1435" t="s">
        <v>796</v>
      </c>
      <c r="G1435" t="str">
        <f>"00615700374"</f>
        <v>00615700374</v>
      </c>
      <c r="I1435" t="s">
        <v>172</v>
      </c>
      <c r="L1435" t="s">
        <v>41</v>
      </c>
      <c r="M1435">
        <v>19800.77</v>
      </c>
      <c r="AG1435">
        <v>19800.77</v>
      </c>
      <c r="AH1435" s="1">
        <v>41282</v>
      </c>
      <c r="AI1435" s="1">
        <v>41473</v>
      </c>
      <c r="AJ1435" s="1">
        <v>41282</v>
      </c>
    </row>
    <row r="1436" spans="1:36" ht="15">
      <c r="A1436" t="str">
        <f>"Z2C039BBAE"</f>
        <v>Z2C039BBAE</v>
      </c>
      <c r="B1436" t="str">
        <f t="shared" si="67"/>
        <v>02406911202</v>
      </c>
      <c r="C1436" t="s">
        <v>13</v>
      </c>
      <c r="D1436" t="s">
        <v>975</v>
      </c>
      <c r="E1436" t="s">
        <v>984</v>
      </c>
      <c r="F1436" t="s">
        <v>796</v>
      </c>
      <c r="G1436" t="str">
        <f>"03797800376"</f>
        <v>03797800376</v>
      </c>
      <c r="I1436" t="s">
        <v>1066</v>
      </c>
      <c r="L1436" t="s">
        <v>41</v>
      </c>
      <c r="M1436">
        <v>564.5</v>
      </c>
      <c r="AG1436">
        <v>564.5</v>
      </c>
      <c r="AH1436" s="1">
        <v>41606</v>
      </c>
      <c r="AI1436" s="1">
        <v>41616</v>
      </c>
      <c r="AJ1436" s="1">
        <v>41606</v>
      </c>
    </row>
    <row r="1437" spans="1:36" ht="15">
      <c r="A1437" t="str">
        <f>"Z2D08B791D"</f>
        <v>Z2D08B791D</v>
      </c>
      <c r="B1437" t="str">
        <f t="shared" si="67"/>
        <v>02406911202</v>
      </c>
      <c r="C1437" t="s">
        <v>13</v>
      </c>
      <c r="D1437" t="s">
        <v>975</v>
      </c>
      <c r="E1437" t="s">
        <v>1067</v>
      </c>
      <c r="F1437" t="s">
        <v>796</v>
      </c>
      <c r="G1437" t="str">
        <f>"09328790150"</f>
        <v>09328790150</v>
      </c>
      <c r="I1437" t="s">
        <v>1068</v>
      </c>
      <c r="L1437" t="s">
        <v>41</v>
      </c>
      <c r="M1437">
        <v>4130</v>
      </c>
      <c r="AG1437">
        <v>4130</v>
      </c>
      <c r="AH1437" s="1">
        <v>41323</v>
      </c>
      <c r="AI1437" s="1">
        <v>41635</v>
      </c>
      <c r="AJ1437" s="1">
        <v>41323</v>
      </c>
    </row>
    <row r="1438" spans="1:36" ht="15">
      <c r="A1438" t="str">
        <f>"Z330371EED"</f>
        <v>Z330371EED</v>
      </c>
      <c r="B1438" t="str">
        <f t="shared" si="67"/>
        <v>02406911202</v>
      </c>
      <c r="C1438" t="s">
        <v>13</v>
      </c>
      <c r="D1438" t="s">
        <v>975</v>
      </c>
      <c r="E1438" t="s">
        <v>1058</v>
      </c>
      <c r="F1438" t="s">
        <v>796</v>
      </c>
      <c r="G1438" t="str">
        <f>"06168280961"</f>
        <v>06168280961</v>
      </c>
      <c r="I1438" t="s">
        <v>1069</v>
      </c>
      <c r="L1438" t="s">
        <v>41</v>
      </c>
      <c r="M1438">
        <v>9450</v>
      </c>
      <c r="AG1438">
        <v>9450</v>
      </c>
      <c r="AH1438" s="1">
        <v>41348</v>
      </c>
      <c r="AI1438" s="1">
        <v>41490</v>
      </c>
      <c r="AJ1438" s="1">
        <v>41348</v>
      </c>
    </row>
    <row r="1439" spans="1:36" ht="15">
      <c r="A1439" t="str">
        <f>"Z340BB22F9"</f>
        <v>Z340BB22F9</v>
      </c>
      <c r="B1439" t="str">
        <f t="shared" si="67"/>
        <v>02406911202</v>
      </c>
      <c r="C1439" t="s">
        <v>13</v>
      </c>
      <c r="D1439" t="s">
        <v>975</v>
      </c>
      <c r="E1439" t="s">
        <v>1049</v>
      </c>
      <c r="F1439" t="s">
        <v>796</v>
      </c>
      <c r="G1439" t="str">
        <f>"01615440342"</f>
        <v>01615440342</v>
      </c>
      <c r="I1439" t="s">
        <v>1070</v>
      </c>
      <c r="L1439" t="s">
        <v>41</v>
      </c>
      <c r="M1439">
        <v>1631</v>
      </c>
      <c r="AG1439">
        <v>1639</v>
      </c>
      <c r="AH1439" s="1">
        <v>41547</v>
      </c>
      <c r="AI1439" s="1">
        <v>41580</v>
      </c>
      <c r="AJ1439" s="1">
        <v>41547</v>
      </c>
    </row>
    <row r="1440" spans="1:36" ht="15">
      <c r="A1440" t="str">
        <f>"Z36067F99D"</f>
        <v>Z36067F99D</v>
      </c>
      <c r="B1440" t="str">
        <f t="shared" si="67"/>
        <v>02406911202</v>
      </c>
      <c r="C1440" t="s">
        <v>13</v>
      </c>
      <c r="D1440" t="s">
        <v>975</v>
      </c>
      <c r="E1440" t="s">
        <v>1071</v>
      </c>
      <c r="F1440" t="s">
        <v>796</v>
      </c>
      <c r="G1440" t="str">
        <f>"06754140157"</f>
        <v>06754140157</v>
      </c>
      <c r="I1440" t="s">
        <v>406</v>
      </c>
      <c r="L1440" t="s">
        <v>41</v>
      </c>
      <c r="M1440">
        <v>19380.72</v>
      </c>
      <c r="AG1440">
        <v>19380.72</v>
      </c>
      <c r="AH1440" s="1">
        <v>41281</v>
      </c>
      <c r="AI1440" s="1">
        <v>41323</v>
      </c>
      <c r="AJ1440" s="1">
        <v>41281</v>
      </c>
    </row>
    <row r="1441" spans="1:36" ht="15">
      <c r="A1441" t="str">
        <f>"Z380394847"</f>
        <v>Z380394847</v>
      </c>
      <c r="B1441" t="str">
        <f t="shared" si="67"/>
        <v>02406911202</v>
      </c>
      <c r="C1441" t="s">
        <v>13</v>
      </c>
      <c r="D1441" t="s">
        <v>975</v>
      </c>
      <c r="E1441" t="s">
        <v>980</v>
      </c>
      <c r="F1441" t="s">
        <v>796</v>
      </c>
      <c r="G1441" t="str">
        <f>"10994940152"</f>
        <v>10994940152</v>
      </c>
      <c r="I1441" t="s">
        <v>755</v>
      </c>
      <c r="L1441" t="s">
        <v>41</v>
      </c>
      <c r="M1441">
        <v>19056</v>
      </c>
      <c r="AG1441">
        <v>19056</v>
      </c>
      <c r="AH1441" s="1">
        <v>41290</v>
      </c>
      <c r="AI1441" s="1">
        <v>41393</v>
      </c>
      <c r="AJ1441" s="1">
        <v>41290</v>
      </c>
    </row>
    <row r="1442" spans="1:36" ht="15">
      <c r="A1442" t="str">
        <f>"Z3C035D8E5"</f>
        <v>Z3C035D8E5</v>
      </c>
      <c r="B1442" t="str">
        <f t="shared" si="67"/>
        <v>02406911202</v>
      </c>
      <c r="C1442" t="s">
        <v>13</v>
      </c>
      <c r="D1442" t="s">
        <v>975</v>
      </c>
      <c r="E1442" t="s">
        <v>1072</v>
      </c>
      <c r="F1442" t="s">
        <v>796</v>
      </c>
      <c r="H1442" t="str">
        <f>"DE129314192"</f>
        <v>DE129314192</v>
      </c>
      <c r="I1442" t="s">
        <v>1073</v>
      </c>
      <c r="L1442" t="s">
        <v>45</v>
      </c>
      <c r="AJ1442" s="1">
        <v>41298</v>
      </c>
    </row>
    <row r="1443" spans="1:36" ht="15">
      <c r="A1443" t="str">
        <f>"Z3C06BAC67"</f>
        <v>Z3C06BAC67</v>
      </c>
      <c r="B1443" t="str">
        <f t="shared" si="67"/>
        <v>02406911202</v>
      </c>
      <c r="C1443" t="s">
        <v>13</v>
      </c>
      <c r="D1443" t="s">
        <v>975</v>
      </c>
      <c r="E1443" t="s">
        <v>1074</v>
      </c>
      <c r="F1443" t="s">
        <v>796</v>
      </c>
      <c r="G1443" t="str">
        <f>"01620971208"</f>
        <v>01620971208</v>
      </c>
      <c r="I1443" t="s">
        <v>1075</v>
      </c>
      <c r="L1443" t="s">
        <v>41</v>
      </c>
      <c r="M1443">
        <v>2838</v>
      </c>
      <c r="AG1443">
        <v>2838</v>
      </c>
      <c r="AH1443" s="1">
        <v>41436</v>
      </c>
      <c r="AI1443" s="1">
        <v>41453</v>
      </c>
      <c r="AJ1443" s="1">
        <v>41436</v>
      </c>
    </row>
    <row r="1444" spans="1:36" ht="15">
      <c r="A1444" t="str">
        <f>"Z3F0B9CCD0"</f>
        <v>Z3F0B9CCD0</v>
      </c>
      <c r="B1444" t="str">
        <f t="shared" si="67"/>
        <v>02406911202</v>
      </c>
      <c r="C1444" t="s">
        <v>13</v>
      </c>
      <c r="D1444" t="s">
        <v>975</v>
      </c>
      <c r="E1444" t="s">
        <v>1076</v>
      </c>
      <c r="F1444" t="s">
        <v>796</v>
      </c>
      <c r="G1444" t="str">
        <f>"00972790109"</f>
        <v>00972790109</v>
      </c>
      <c r="I1444" t="s">
        <v>543</v>
      </c>
      <c r="L1444" t="s">
        <v>41</v>
      </c>
      <c r="M1444">
        <v>13079.2</v>
      </c>
      <c r="AG1444">
        <v>13043.52</v>
      </c>
      <c r="AH1444" s="1">
        <v>41541</v>
      </c>
      <c r="AI1444" s="1">
        <v>41573</v>
      </c>
      <c r="AJ1444" s="1">
        <v>41541</v>
      </c>
    </row>
    <row r="1445" spans="1:36" ht="15">
      <c r="A1445" t="str">
        <f>"Z4109E8F47"</f>
        <v>Z4109E8F47</v>
      </c>
      <c r="B1445" t="str">
        <f t="shared" si="67"/>
        <v>02406911202</v>
      </c>
      <c r="C1445" t="s">
        <v>13</v>
      </c>
      <c r="D1445" t="s">
        <v>975</v>
      </c>
      <c r="E1445" t="s">
        <v>1054</v>
      </c>
      <c r="F1445" t="s">
        <v>796</v>
      </c>
      <c r="G1445" t="str">
        <f>"00972790109"</f>
        <v>00972790109</v>
      </c>
      <c r="I1445" t="s">
        <v>543</v>
      </c>
      <c r="L1445" t="s">
        <v>41</v>
      </c>
      <c r="M1445">
        <v>19808.34</v>
      </c>
      <c r="AG1445">
        <v>19808.25</v>
      </c>
      <c r="AH1445" s="1">
        <v>41409</v>
      </c>
      <c r="AI1445" s="1">
        <v>41487</v>
      </c>
      <c r="AJ1445" s="1">
        <v>41409</v>
      </c>
    </row>
    <row r="1446" spans="1:36" ht="15">
      <c r="A1446" t="str">
        <f>"Z4408623A3"</f>
        <v>Z4408623A3</v>
      </c>
      <c r="B1446" t="str">
        <f t="shared" si="67"/>
        <v>02406911202</v>
      </c>
      <c r="C1446" t="s">
        <v>13</v>
      </c>
      <c r="D1446" t="s">
        <v>975</v>
      </c>
      <c r="E1446" t="s">
        <v>979</v>
      </c>
      <c r="F1446" t="s">
        <v>796</v>
      </c>
      <c r="G1446" t="str">
        <f>"01681801203"</f>
        <v>01681801203</v>
      </c>
      <c r="I1446" t="s">
        <v>1077</v>
      </c>
      <c r="L1446" t="s">
        <v>41</v>
      </c>
      <c r="M1446">
        <v>650.01</v>
      </c>
      <c r="AG1446">
        <v>650</v>
      </c>
      <c r="AH1446" s="1">
        <v>41303</v>
      </c>
      <c r="AI1446" s="1">
        <v>41386</v>
      </c>
      <c r="AJ1446" s="1">
        <v>41303</v>
      </c>
    </row>
    <row r="1447" spans="1:36" ht="15">
      <c r="A1447" t="str">
        <f>"Z48059F025"</f>
        <v>Z48059F025</v>
      </c>
      <c r="B1447" t="str">
        <f t="shared" si="67"/>
        <v>02406911202</v>
      </c>
      <c r="C1447" t="s">
        <v>13</v>
      </c>
      <c r="D1447" t="s">
        <v>975</v>
      </c>
      <c r="E1447" t="s">
        <v>1078</v>
      </c>
      <c r="F1447" t="s">
        <v>796</v>
      </c>
      <c r="G1447" t="str">
        <f>"03450130285"</f>
        <v>03450130285</v>
      </c>
      <c r="I1447" t="s">
        <v>1079</v>
      </c>
      <c r="L1447" t="s">
        <v>41</v>
      </c>
      <c r="M1447">
        <v>7543.34</v>
      </c>
      <c r="AG1447">
        <v>7543.34</v>
      </c>
      <c r="AH1447" s="1">
        <v>41281</v>
      </c>
      <c r="AI1447" s="1">
        <v>41473</v>
      </c>
      <c r="AJ1447" s="1">
        <v>41281</v>
      </c>
    </row>
    <row r="1448" spans="1:36" ht="15">
      <c r="A1448" t="str">
        <f>"Z4808162F9"</f>
        <v>Z4808162F9</v>
      </c>
      <c r="B1448" t="str">
        <f t="shared" si="67"/>
        <v>02406911202</v>
      </c>
      <c r="C1448" t="s">
        <v>13</v>
      </c>
      <c r="D1448" t="s">
        <v>975</v>
      </c>
      <c r="E1448" t="s">
        <v>979</v>
      </c>
      <c r="F1448" t="s">
        <v>796</v>
      </c>
      <c r="G1448" t="str">
        <f>"02057531200"</f>
        <v>02057531200</v>
      </c>
      <c r="I1448" t="s">
        <v>1080</v>
      </c>
      <c r="L1448" t="s">
        <v>41</v>
      </c>
      <c r="M1448">
        <v>4403.5</v>
      </c>
      <c r="AG1448">
        <v>4403.5</v>
      </c>
      <c r="AH1448" s="1">
        <v>41284</v>
      </c>
      <c r="AI1448" s="1">
        <v>41453</v>
      </c>
      <c r="AJ1448" s="1">
        <v>41284</v>
      </c>
    </row>
    <row r="1449" spans="1:36" ht="15">
      <c r="A1449" t="str">
        <f>"Z4906BDC07"</f>
        <v>Z4906BDC07</v>
      </c>
      <c r="B1449" t="str">
        <f t="shared" si="67"/>
        <v>02406911202</v>
      </c>
      <c r="C1449" t="s">
        <v>13</v>
      </c>
      <c r="D1449" t="s">
        <v>975</v>
      </c>
      <c r="E1449" t="s">
        <v>1074</v>
      </c>
      <c r="F1449" t="s">
        <v>796</v>
      </c>
      <c r="G1449" t="str">
        <f>"09270550016"</f>
        <v>09270550016</v>
      </c>
      <c r="I1449" t="s">
        <v>542</v>
      </c>
      <c r="L1449" t="s">
        <v>41</v>
      </c>
      <c r="M1449">
        <v>8185.64</v>
      </c>
      <c r="AG1449">
        <v>9092.64</v>
      </c>
      <c r="AH1449" s="1">
        <v>41387</v>
      </c>
      <c r="AI1449" s="1">
        <v>41440</v>
      </c>
      <c r="AJ1449" s="1">
        <v>41387</v>
      </c>
    </row>
    <row r="1450" spans="1:36" ht="15">
      <c r="A1450" t="str">
        <f>"Z4A00DBA56"</f>
        <v>Z4A00DBA56</v>
      </c>
      <c r="B1450" t="str">
        <f t="shared" si="67"/>
        <v>02406911202</v>
      </c>
      <c r="C1450" t="s">
        <v>13</v>
      </c>
      <c r="D1450" t="s">
        <v>975</v>
      </c>
      <c r="E1450" t="s">
        <v>980</v>
      </c>
      <c r="F1450" t="s">
        <v>796</v>
      </c>
      <c r="G1450" t="str">
        <f>"06854251003"</f>
        <v>06854251003</v>
      </c>
      <c r="I1450" t="s">
        <v>1081</v>
      </c>
      <c r="L1450" t="s">
        <v>41</v>
      </c>
      <c r="M1450">
        <v>1973.4</v>
      </c>
      <c r="AG1450">
        <v>1973.4</v>
      </c>
      <c r="AH1450" s="1">
        <v>41289</v>
      </c>
      <c r="AI1450" s="1">
        <v>41431</v>
      </c>
      <c r="AJ1450" s="1">
        <v>41289</v>
      </c>
    </row>
    <row r="1451" spans="1:36" ht="15">
      <c r="A1451" t="str">
        <f>"Z54088B4F1"</f>
        <v>Z54088B4F1</v>
      </c>
      <c r="B1451" t="str">
        <f t="shared" si="67"/>
        <v>02406911202</v>
      </c>
      <c r="C1451" t="s">
        <v>13</v>
      </c>
      <c r="D1451" t="s">
        <v>975</v>
      </c>
      <c r="E1451" t="s">
        <v>979</v>
      </c>
      <c r="F1451" t="s">
        <v>796</v>
      </c>
      <c r="G1451" t="str">
        <f>"04156880371"</f>
        <v>04156880371</v>
      </c>
      <c r="I1451" t="s">
        <v>320</v>
      </c>
      <c r="L1451" t="s">
        <v>41</v>
      </c>
      <c r="M1451">
        <v>19629.59</v>
      </c>
      <c r="AG1451">
        <v>19629.59</v>
      </c>
      <c r="AH1451" s="1">
        <v>41311</v>
      </c>
      <c r="AI1451" s="1">
        <v>41622</v>
      </c>
      <c r="AJ1451" s="1">
        <v>41311</v>
      </c>
    </row>
    <row r="1452" spans="1:36" ht="15">
      <c r="A1452" t="str">
        <f>"Z5504F54CF"</f>
        <v>Z5504F54CF</v>
      </c>
      <c r="B1452" t="str">
        <f t="shared" si="67"/>
        <v>02406911202</v>
      </c>
      <c r="C1452" t="s">
        <v>13</v>
      </c>
      <c r="D1452" t="s">
        <v>975</v>
      </c>
      <c r="E1452" t="s">
        <v>1082</v>
      </c>
      <c r="F1452" t="s">
        <v>796</v>
      </c>
      <c r="G1452" t="str">
        <f>"03524050238"</f>
        <v>03524050238</v>
      </c>
      <c r="I1452" t="s">
        <v>638</v>
      </c>
      <c r="L1452" t="s">
        <v>41</v>
      </c>
      <c r="M1452">
        <v>18394.7</v>
      </c>
      <c r="AG1452">
        <v>18394.7</v>
      </c>
      <c r="AH1452" s="1">
        <v>41453</v>
      </c>
      <c r="AI1452" s="1">
        <v>41474</v>
      </c>
      <c r="AJ1452" s="1">
        <v>41453</v>
      </c>
    </row>
    <row r="1453" spans="1:36" ht="15">
      <c r="A1453" t="str">
        <f>"Z550707BBF"</f>
        <v>Z550707BBF</v>
      </c>
      <c r="B1453" t="str">
        <f t="shared" si="67"/>
        <v>02406911202</v>
      </c>
      <c r="C1453" t="s">
        <v>13</v>
      </c>
      <c r="D1453" t="s">
        <v>975</v>
      </c>
      <c r="E1453" t="s">
        <v>979</v>
      </c>
      <c r="F1453" t="s">
        <v>796</v>
      </c>
      <c r="G1453" t="str">
        <f>"01681100150"</f>
        <v>01681100150</v>
      </c>
      <c r="I1453" t="s">
        <v>155</v>
      </c>
      <c r="L1453" t="s">
        <v>41</v>
      </c>
      <c r="M1453">
        <v>19879.68</v>
      </c>
      <c r="AG1453">
        <v>19879.68</v>
      </c>
      <c r="AH1453" s="1">
        <v>41288</v>
      </c>
      <c r="AI1453" s="1">
        <v>41515</v>
      </c>
      <c r="AJ1453" s="1">
        <v>41288</v>
      </c>
    </row>
    <row r="1454" spans="1:36" ht="15">
      <c r="A1454" t="str">
        <f>"Z59071DFC1"</f>
        <v>Z59071DFC1</v>
      </c>
      <c r="B1454" t="str">
        <f t="shared" si="67"/>
        <v>02406911202</v>
      </c>
      <c r="C1454" t="s">
        <v>13</v>
      </c>
      <c r="D1454" t="s">
        <v>975</v>
      </c>
      <c r="E1454" t="s">
        <v>1074</v>
      </c>
      <c r="F1454" t="s">
        <v>796</v>
      </c>
      <c r="G1454" t="str">
        <f>"00972790109"</f>
        <v>00972790109</v>
      </c>
      <c r="I1454" t="s">
        <v>543</v>
      </c>
      <c r="L1454" t="s">
        <v>41</v>
      </c>
      <c r="M1454">
        <v>20936.93</v>
      </c>
      <c r="AG1454">
        <v>20936.93</v>
      </c>
      <c r="AH1454" s="1">
        <v>41327</v>
      </c>
      <c r="AI1454" s="1">
        <v>41456</v>
      </c>
      <c r="AJ1454" s="1">
        <v>41327</v>
      </c>
    </row>
    <row r="1455" spans="1:36" ht="15">
      <c r="A1455" t="str">
        <f>"Z5B06D828F"</f>
        <v>Z5B06D828F</v>
      </c>
      <c r="B1455" t="str">
        <f t="shared" si="67"/>
        <v>02406911202</v>
      </c>
      <c r="C1455" t="s">
        <v>13</v>
      </c>
      <c r="D1455" t="s">
        <v>975</v>
      </c>
      <c r="E1455" t="s">
        <v>979</v>
      </c>
      <c r="F1455" t="s">
        <v>796</v>
      </c>
      <c r="G1455" t="str">
        <f>"03597020373"</f>
        <v>03597020373</v>
      </c>
      <c r="I1455" t="s">
        <v>100</v>
      </c>
      <c r="L1455" t="s">
        <v>41</v>
      </c>
      <c r="M1455">
        <v>19848.56</v>
      </c>
      <c r="AG1455">
        <v>19848.56</v>
      </c>
      <c r="AH1455" s="1">
        <v>41281</v>
      </c>
      <c r="AI1455" s="1">
        <v>41356</v>
      </c>
      <c r="AJ1455" s="1">
        <v>41281</v>
      </c>
    </row>
    <row r="1456" spans="1:36" ht="15">
      <c r="A1456" t="str">
        <f>"Z630356006"</f>
        <v>Z630356006</v>
      </c>
      <c r="B1456" t="str">
        <f t="shared" si="67"/>
        <v>02406911202</v>
      </c>
      <c r="C1456" t="s">
        <v>13</v>
      </c>
      <c r="D1456" t="s">
        <v>975</v>
      </c>
      <c r="E1456" t="s">
        <v>1074</v>
      </c>
      <c r="F1456" t="s">
        <v>796</v>
      </c>
      <c r="G1456" t="str">
        <f>"09012850153"</f>
        <v>09012850153</v>
      </c>
      <c r="I1456" t="s">
        <v>443</v>
      </c>
      <c r="L1456" t="s">
        <v>41</v>
      </c>
      <c r="M1456">
        <v>18900</v>
      </c>
      <c r="AG1456">
        <v>18900</v>
      </c>
      <c r="AH1456" s="1">
        <v>41360</v>
      </c>
      <c r="AI1456" s="1">
        <v>41370</v>
      </c>
      <c r="AJ1456" s="1">
        <v>41360</v>
      </c>
    </row>
    <row r="1457" spans="1:36" ht="15">
      <c r="A1457" t="str">
        <f>"Z650A998E3"</f>
        <v>Z650A998E3</v>
      </c>
      <c r="B1457" t="str">
        <f t="shared" si="67"/>
        <v>02406911202</v>
      </c>
      <c r="C1457" t="s">
        <v>13</v>
      </c>
      <c r="D1457" t="s">
        <v>975</v>
      </c>
      <c r="E1457" t="s">
        <v>1053</v>
      </c>
      <c r="F1457" t="s">
        <v>796</v>
      </c>
      <c r="G1457" t="str">
        <f>"09012850153"</f>
        <v>09012850153</v>
      </c>
      <c r="I1457" t="s">
        <v>443</v>
      </c>
      <c r="L1457" t="s">
        <v>41</v>
      </c>
      <c r="M1457">
        <v>13915</v>
      </c>
      <c r="AG1457">
        <v>13915</v>
      </c>
      <c r="AH1457" s="1">
        <v>41458</v>
      </c>
      <c r="AI1457" s="1">
        <v>41483</v>
      </c>
      <c r="AJ1457" s="1">
        <v>41458</v>
      </c>
    </row>
    <row r="1458" spans="1:36" ht="15">
      <c r="A1458" t="str">
        <f>"Z6700947FC"</f>
        <v>Z6700947FC</v>
      </c>
      <c r="B1458" t="str">
        <f t="shared" si="67"/>
        <v>02406911202</v>
      </c>
      <c r="C1458" t="s">
        <v>13</v>
      </c>
      <c r="D1458" t="s">
        <v>975</v>
      </c>
      <c r="E1458" t="s">
        <v>1083</v>
      </c>
      <c r="F1458" t="s">
        <v>796</v>
      </c>
      <c r="G1458" t="str">
        <f>"03237150234"</f>
        <v>03237150234</v>
      </c>
      <c r="I1458" t="s">
        <v>195</v>
      </c>
      <c r="L1458" t="s">
        <v>41</v>
      </c>
      <c r="M1458">
        <v>7350</v>
      </c>
      <c r="AG1458">
        <v>7350</v>
      </c>
      <c r="AH1458" s="1">
        <v>41290</v>
      </c>
      <c r="AI1458" s="1">
        <v>41587</v>
      </c>
      <c r="AJ1458" s="1">
        <v>41290</v>
      </c>
    </row>
    <row r="1459" spans="1:36" ht="15">
      <c r="A1459" t="str">
        <f>"Z6B079D22D"</f>
        <v>Z6B079D22D</v>
      </c>
      <c r="B1459" t="str">
        <f t="shared" si="67"/>
        <v>02406911202</v>
      </c>
      <c r="C1459" t="s">
        <v>13</v>
      </c>
      <c r="D1459" t="s">
        <v>975</v>
      </c>
      <c r="E1459" t="s">
        <v>980</v>
      </c>
      <c r="F1459" t="s">
        <v>796</v>
      </c>
      <c r="G1459" t="str">
        <f>"05848611009"</f>
        <v>05848611009</v>
      </c>
      <c r="I1459" t="s">
        <v>1084</v>
      </c>
      <c r="L1459" t="s">
        <v>41</v>
      </c>
      <c r="M1459">
        <v>7920</v>
      </c>
      <c r="AG1459">
        <v>7920</v>
      </c>
      <c r="AH1459" s="1">
        <v>41292</v>
      </c>
      <c r="AI1459" s="1">
        <v>41358</v>
      </c>
      <c r="AJ1459" s="1">
        <v>41292</v>
      </c>
    </row>
    <row r="1460" spans="1:36" ht="15">
      <c r="A1460" t="str">
        <f>"Z6B09C7A70"</f>
        <v>Z6B09C7A70</v>
      </c>
      <c r="B1460" t="str">
        <f t="shared" si="67"/>
        <v>02406911202</v>
      </c>
      <c r="C1460" t="s">
        <v>13</v>
      </c>
      <c r="D1460" t="s">
        <v>975</v>
      </c>
      <c r="E1460" t="s">
        <v>1067</v>
      </c>
      <c r="F1460" t="s">
        <v>796</v>
      </c>
      <c r="G1460" t="str">
        <f>"02997731209"</f>
        <v>02997731209</v>
      </c>
      <c r="I1460" t="s">
        <v>1085</v>
      </c>
      <c r="L1460" t="s">
        <v>41</v>
      </c>
      <c r="M1460">
        <v>240</v>
      </c>
      <c r="AG1460">
        <v>240</v>
      </c>
      <c r="AH1460" s="1">
        <v>41400</v>
      </c>
      <c r="AI1460" s="1">
        <v>41410</v>
      </c>
      <c r="AJ1460" s="1">
        <v>41400</v>
      </c>
    </row>
    <row r="1461" spans="1:36" ht="15">
      <c r="A1461" t="str">
        <f>"Z7201F071C"</f>
        <v>Z7201F071C</v>
      </c>
      <c r="B1461" t="str">
        <f t="shared" si="67"/>
        <v>02406911202</v>
      </c>
      <c r="C1461" t="s">
        <v>13</v>
      </c>
      <c r="D1461" t="s">
        <v>975</v>
      </c>
      <c r="E1461" t="s">
        <v>1086</v>
      </c>
      <c r="F1461" t="s">
        <v>796</v>
      </c>
      <c r="G1461" t="str">
        <f>"08082461008"</f>
        <v>08082461008</v>
      </c>
      <c r="I1461" t="s">
        <v>132</v>
      </c>
      <c r="L1461" t="s">
        <v>41</v>
      </c>
      <c r="M1461">
        <v>14175.8</v>
      </c>
      <c r="AG1461">
        <v>14175.8</v>
      </c>
      <c r="AH1461" s="1">
        <v>41281</v>
      </c>
      <c r="AI1461" s="1">
        <v>41308</v>
      </c>
      <c r="AJ1461" s="1">
        <v>41281</v>
      </c>
    </row>
    <row r="1462" spans="1:36" ht="15">
      <c r="A1462" t="str">
        <f>"Z730C4F33F"</f>
        <v>Z730C4F33F</v>
      </c>
      <c r="B1462" t="str">
        <f t="shared" si="67"/>
        <v>02406911202</v>
      </c>
      <c r="C1462" t="s">
        <v>13</v>
      </c>
      <c r="D1462" t="s">
        <v>975</v>
      </c>
      <c r="E1462" t="s">
        <v>979</v>
      </c>
      <c r="F1462" t="s">
        <v>796</v>
      </c>
      <c r="G1462" t="str">
        <f>"03237150234"</f>
        <v>03237150234</v>
      </c>
      <c r="I1462" t="s">
        <v>195</v>
      </c>
      <c r="L1462" t="s">
        <v>41</v>
      </c>
      <c r="M1462">
        <v>200</v>
      </c>
      <c r="AG1462">
        <v>200</v>
      </c>
      <c r="AH1462" s="1">
        <v>41589</v>
      </c>
      <c r="AI1462" s="1">
        <v>41599</v>
      </c>
      <c r="AJ1462" s="1">
        <v>41589</v>
      </c>
    </row>
    <row r="1463" spans="1:36" ht="15">
      <c r="A1463" t="str">
        <f>"Z7B03422F0"</f>
        <v>Z7B03422F0</v>
      </c>
      <c r="B1463" t="str">
        <f t="shared" si="67"/>
        <v>02406911202</v>
      </c>
      <c r="C1463" t="s">
        <v>13</v>
      </c>
      <c r="D1463" t="s">
        <v>975</v>
      </c>
      <c r="E1463" t="s">
        <v>1087</v>
      </c>
      <c r="F1463" t="s">
        <v>796</v>
      </c>
      <c r="G1463" t="str">
        <f>"00933990962"</f>
        <v>00933990962</v>
      </c>
      <c r="I1463" t="s">
        <v>1088</v>
      </c>
      <c r="L1463" t="s">
        <v>41</v>
      </c>
      <c r="M1463">
        <v>9492.31</v>
      </c>
      <c r="AG1463">
        <v>11019.55</v>
      </c>
      <c r="AH1463" s="1">
        <v>41297</v>
      </c>
      <c r="AI1463" s="1">
        <v>41599</v>
      </c>
      <c r="AJ1463" s="1">
        <v>41297</v>
      </c>
    </row>
    <row r="1464" spans="1:36" ht="15">
      <c r="A1464" t="str">
        <f>"Z7C0BBEAC9"</f>
        <v>Z7C0BBEAC9</v>
      </c>
      <c r="B1464" t="str">
        <f t="shared" si="67"/>
        <v>02406911202</v>
      </c>
      <c r="C1464" t="s">
        <v>13</v>
      </c>
      <c r="D1464" t="s">
        <v>975</v>
      </c>
      <c r="E1464" t="s">
        <v>1089</v>
      </c>
      <c r="F1464" t="s">
        <v>796</v>
      </c>
      <c r="G1464" t="str">
        <f>"06770260013"</f>
        <v>06770260013</v>
      </c>
      <c r="I1464" t="s">
        <v>1090</v>
      </c>
      <c r="L1464" t="s">
        <v>41</v>
      </c>
      <c r="M1464">
        <v>430</v>
      </c>
      <c r="AG1464">
        <v>430</v>
      </c>
      <c r="AH1464" s="1">
        <v>41549</v>
      </c>
      <c r="AI1464" s="1">
        <v>41559</v>
      </c>
      <c r="AJ1464" s="1">
        <v>41549</v>
      </c>
    </row>
    <row r="1465" spans="1:36" ht="15">
      <c r="A1465" t="str">
        <f>"Z7E0274D37"</f>
        <v>Z7E0274D37</v>
      </c>
      <c r="B1465" t="str">
        <f t="shared" si="67"/>
        <v>02406911202</v>
      </c>
      <c r="C1465" t="s">
        <v>13</v>
      </c>
      <c r="D1465" t="s">
        <v>975</v>
      </c>
      <c r="E1465" t="s">
        <v>1091</v>
      </c>
      <c r="F1465" t="s">
        <v>796</v>
      </c>
      <c r="G1465" t="str">
        <f>"09328790150"</f>
        <v>09328790150</v>
      </c>
      <c r="I1465" t="s">
        <v>1068</v>
      </c>
      <c r="L1465" t="s">
        <v>41</v>
      </c>
      <c r="M1465">
        <v>4270</v>
      </c>
      <c r="AG1465">
        <v>4270</v>
      </c>
      <c r="AH1465" s="1">
        <v>41282</v>
      </c>
      <c r="AI1465" s="1">
        <v>41292</v>
      </c>
      <c r="AJ1465" s="1">
        <v>41282</v>
      </c>
    </row>
    <row r="1466" spans="1:36" ht="15">
      <c r="A1466" t="str">
        <f>"Z8005787D1"</f>
        <v>Z8005787D1</v>
      </c>
      <c r="B1466" t="str">
        <f t="shared" si="67"/>
        <v>02406911202</v>
      </c>
      <c r="C1466" t="s">
        <v>13</v>
      </c>
      <c r="D1466" t="s">
        <v>975</v>
      </c>
      <c r="E1466" t="s">
        <v>1074</v>
      </c>
      <c r="F1466" t="s">
        <v>796</v>
      </c>
      <c r="G1466" t="str">
        <f>"09238800156"</f>
        <v>09238800156</v>
      </c>
      <c r="I1466" t="s">
        <v>257</v>
      </c>
      <c r="L1466" t="s">
        <v>41</v>
      </c>
      <c r="M1466">
        <v>4985.35</v>
      </c>
      <c r="AG1466">
        <v>4985.35</v>
      </c>
      <c r="AH1466" s="1">
        <v>41533</v>
      </c>
      <c r="AI1466" s="1">
        <v>41617</v>
      </c>
      <c r="AJ1466" s="1">
        <v>41533</v>
      </c>
    </row>
    <row r="1467" spans="1:36" ht="15">
      <c r="A1467" t="str">
        <f>"Z88095714A"</f>
        <v>Z88095714A</v>
      </c>
      <c r="B1467" t="str">
        <f t="shared" si="67"/>
        <v>02406911202</v>
      </c>
      <c r="C1467" t="s">
        <v>13</v>
      </c>
      <c r="D1467" t="s">
        <v>975</v>
      </c>
      <c r="E1467" t="s">
        <v>1049</v>
      </c>
      <c r="F1467" t="s">
        <v>796</v>
      </c>
      <c r="G1467" t="str">
        <f>"12864800151"</f>
        <v>12864800151</v>
      </c>
      <c r="I1467" t="s">
        <v>1092</v>
      </c>
      <c r="L1467" t="s">
        <v>41</v>
      </c>
      <c r="M1467">
        <v>297.89</v>
      </c>
      <c r="AG1467">
        <v>297.89</v>
      </c>
      <c r="AH1467" s="1">
        <v>41367</v>
      </c>
      <c r="AI1467" s="1">
        <v>41377</v>
      </c>
      <c r="AJ1467" s="1">
        <v>41367</v>
      </c>
    </row>
    <row r="1468" spans="1:36" ht="15">
      <c r="A1468" t="str">
        <f>"Z8C0A52C2C"</f>
        <v>Z8C0A52C2C</v>
      </c>
      <c r="B1468" t="str">
        <f t="shared" si="67"/>
        <v>02406911202</v>
      </c>
      <c r="C1468" t="s">
        <v>13</v>
      </c>
      <c r="D1468" t="s">
        <v>975</v>
      </c>
      <c r="E1468" t="s">
        <v>1093</v>
      </c>
      <c r="F1468" t="s">
        <v>796</v>
      </c>
      <c r="G1468" t="str">
        <f>"10994940152"</f>
        <v>10994940152</v>
      </c>
      <c r="I1468" t="s">
        <v>755</v>
      </c>
      <c r="L1468" t="s">
        <v>41</v>
      </c>
      <c r="M1468">
        <v>19633.4</v>
      </c>
      <c r="AG1468">
        <v>19633.4</v>
      </c>
      <c r="AH1468" s="1">
        <v>41436</v>
      </c>
      <c r="AI1468" s="1">
        <v>41599</v>
      </c>
      <c r="AJ1468" s="1">
        <v>41436</v>
      </c>
    </row>
    <row r="1469" spans="1:36" ht="15">
      <c r="A1469" t="str">
        <f>"Z8E0BB411D"</f>
        <v>Z8E0BB411D</v>
      </c>
      <c r="B1469" t="str">
        <f t="shared" si="67"/>
        <v>02406911202</v>
      </c>
      <c r="C1469" t="s">
        <v>13</v>
      </c>
      <c r="D1469" t="s">
        <v>975</v>
      </c>
      <c r="E1469" t="s">
        <v>1053</v>
      </c>
      <c r="F1469" t="s">
        <v>796</v>
      </c>
      <c r="G1469" t="str">
        <f>"01025400399"</f>
        <v>01025400399</v>
      </c>
      <c r="I1469" t="s">
        <v>1094</v>
      </c>
      <c r="L1469" t="s">
        <v>41</v>
      </c>
      <c r="M1469">
        <v>250</v>
      </c>
      <c r="AG1469">
        <v>250</v>
      </c>
      <c r="AH1469" s="1">
        <v>41547</v>
      </c>
      <c r="AI1469" s="1">
        <v>41557</v>
      </c>
      <c r="AJ1469" s="1">
        <v>41547</v>
      </c>
    </row>
    <row r="1470" spans="1:36" ht="15">
      <c r="A1470" t="str">
        <f>"Z920944534"</f>
        <v>Z920944534</v>
      </c>
      <c r="B1470" t="str">
        <f t="shared" si="67"/>
        <v>02406911202</v>
      </c>
      <c r="C1470" t="s">
        <v>13</v>
      </c>
      <c r="D1470" t="s">
        <v>975</v>
      </c>
      <c r="E1470" t="s">
        <v>1095</v>
      </c>
      <c r="F1470" t="s">
        <v>796</v>
      </c>
      <c r="G1470" t="str">
        <f>"13209130155"</f>
        <v>13209130155</v>
      </c>
      <c r="I1470" t="s">
        <v>1096</v>
      </c>
      <c r="L1470" t="s">
        <v>41</v>
      </c>
      <c r="M1470">
        <v>8875.7</v>
      </c>
      <c r="AG1470">
        <v>8712.29</v>
      </c>
      <c r="AH1470" s="1">
        <v>41283</v>
      </c>
      <c r="AI1470" s="1">
        <v>41487</v>
      </c>
      <c r="AJ1470" s="1">
        <v>41283</v>
      </c>
    </row>
    <row r="1471" spans="1:36" ht="15">
      <c r="A1471" t="str">
        <f>"Z930AA1414"</f>
        <v>Z930AA1414</v>
      </c>
      <c r="B1471" t="str">
        <f t="shared" si="67"/>
        <v>02406911202</v>
      </c>
      <c r="C1471" t="s">
        <v>13</v>
      </c>
      <c r="D1471" t="s">
        <v>975</v>
      </c>
      <c r="E1471" t="s">
        <v>1053</v>
      </c>
      <c r="F1471" t="s">
        <v>796</v>
      </c>
      <c r="G1471" t="str">
        <f>"00847380961"</f>
        <v>00847380961</v>
      </c>
      <c r="I1471" t="s">
        <v>98</v>
      </c>
      <c r="L1471" t="s">
        <v>41</v>
      </c>
      <c r="M1471">
        <v>18150</v>
      </c>
      <c r="AG1471">
        <v>18150</v>
      </c>
      <c r="AH1471" s="1">
        <v>41458</v>
      </c>
      <c r="AI1471" s="1">
        <v>41615</v>
      </c>
      <c r="AJ1471" s="1">
        <v>41458</v>
      </c>
    </row>
    <row r="1472" spans="1:36" ht="15">
      <c r="A1472" t="str">
        <f>"Z9404C1F7D"</f>
        <v>Z9404C1F7D</v>
      </c>
      <c r="B1472" t="str">
        <f t="shared" si="67"/>
        <v>02406911202</v>
      </c>
      <c r="C1472" t="s">
        <v>13</v>
      </c>
      <c r="D1472" t="s">
        <v>975</v>
      </c>
      <c r="E1472" t="s">
        <v>1097</v>
      </c>
      <c r="F1472" t="s">
        <v>796</v>
      </c>
      <c r="G1472" t="str">
        <f>"02481080964"</f>
        <v>02481080964</v>
      </c>
      <c r="I1472" t="s">
        <v>92</v>
      </c>
      <c r="L1472" t="s">
        <v>41</v>
      </c>
      <c r="M1472">
        <v>222</v>
      </c>
      <c r="AG1472">
        <v>222</v>
      </c>
      <c r="AH1472" s="1">
        <v>41548</v>
      </c>
      <c r="AI1472" s="1">
        <v>41558</v>
      </c>
      <c r="AJ1472" s="1">
        <v>41548</v>
      </c>
    </row>
    <row r="1473" spans="1:36" ht="15">
      <c r="A1473" t="str">
        <f>"Z9508BD5DB"</f>
        <v>Z9508BD5DB</v>
      </c>
      <c r="B1473" t="str">
        <f t="shared" si="67"/>
        <v>02406911202</v>
      </c>
      <c r="C1473" t="s">
        <v>13</v>
      </c>
      <c r="D1473" t="s">
        <v>975</v>
      </c>
      <c r="E1473" t="s">
        <v>1098</v>
      </c>
      <c r="F1473" t="s">
        <v>796</v>
      </c>
      <c r="G1473" t="str">
        <f>"00492340583"</f>
        <v>00492340583</v>
      </c>
      <c r="I1473" t="s">
        <v>151</v>
      </c>
      <c r="L1473" t="s">
        <v>41</v>
      </c>
      <c r="M1473">
        <v>19466.75</v>
      </c>
      <c r="AG1473">
        <v>19764.5</v>
      </c>
      <c r="AH1473" s="1">
        <v>41324</v>
      </c>
      <c r="AI1473" s="1">
        <v>41616</v>
      </c>
      <c r="AJ1473" s="1">
        <v>41324</v>
      </c>
    </row>
    <row r="1474" spans="1:36" ht="15">
      <c r="A1474" t="str">
        <f>"Z97065A042"</f>
        <v>Z97065A042</v>
      </c>
      <c r="B1474" t="str">
        <f aca="true" t="shared" si="68" ref="B1474:B1537">"02406911202"</f>
        <v>02406911202</v>
      </c>
      <c r="C1474" t="s">
        <v>13</v>
      </c>
      <c r="D1474" t="s">
        <v>975</v>
      </c>
      <c r="E1474" t="s">
        <v>1099</v>
      </c>
      <c r="F1474" t="s">
        <v>796</v>
      </c>
      <c r="H1474" t="str">
        <f>"DE118579535"</f>
        <v>DE118579535</v>
      </c>
      <c r="I1474" t="s">
        <v>1100</v>
      </c>
      <c r="L1474" t="s">
        <v>45</v>
      </c>
      <c r="AJ1474" s="1">
        <v>41443</v>
      </c>
    </row>
    <row r="1475" spans="1:36" ht="15">
      <c r="A1475" t="str">
        <f>"Z9706E0186"</f>
        <v>Z9706E0186</v>
      </c>
      <c r="B1475" t="str">
        <f t="shared" si="68"/>
        <v>02406911202</v>
      </c>
      <c r="C1475" t="s">
        <v>13</v>
      </c>
      <c r="D1475" t="s">
        <v>975</v>
      </c>
      <c r="E1475" t="s">
        <v>980</v>
      </c>
      <c r="F1475" t="s">
        <v>796</v>
      </c>
      <c r="G1475" t="str">
        <f>"05158401009"</f>
        <v>05158401009</v>
      </c>
      <c r="I1475" t="s">
        <v>1101</v>
      </c>
      <c r="L1475" t="s">
        <v>41</v>
      </c>
      <c r="M1475">
        <v>6919</v>
      </c>
      <c r="AG1475">
        <v>6919</v>
      </c>
      <c r="AH1475" s="1">
        <v>41313</v>
      </c>
      <c r="AI1475" s="1">
        <v>41624</v>
      </c>
      <c r="AJ1475" s="1">
        <v>41313</v>
      </c>
    </row>
    <row r="1476" spans="1:36" ht="15">
      <c r="A1476" t="str">
        <f>"Z98070009E"</f>
        <v>Z98070009E</v>
      </c>
      <c r="B1476" t="str">
        <f t="shared" si="68"/>
        <v>02406911202</v>
      </c>
      <c r="C1476" t="s">
        <v>13</v>
      </c>
      <c r="D1476" t="s">
        <v>975</v>
      </c>
      <c r="E1476" t="s">
        <v>1102</v>
      </c>
      <c r="F1476" t="s">
        <v>796</v>
      </c>
      <c r="G1476" t="str">
        <f>"00707821203"</f>
        <v>00707821203</v>
      </c>
      <c r="I1476" t="s">
        <v>1103</v>
      </c>
      <c r="L1476" t="s">
        <v>41</v>
      </c>
      <c r="M1476">
        <v>1836</v>
      </c>
      <c r="AG1476">
        <v>1836</v>
      </c>
      <c r="AH1476" s="1">
        <v>41282</v>
      </c>
      <c r="AI1476" s="1">
        <v>41606</v>
      </c>
      <c r="AJ1476" s="1">
        <v>41282</v>
      </c>
    </row>
    <row r="1477" spans="1:36" ht="15">
      <c r="A1477" t="str">
        <f>"Z980781081"</f>
        <v>Z980781081</v>
      </c>
      <c r="B1477" t="str">
        <f t="shared" si="68"/>
        <v>02406911202</v>
      </c>
      <c r="C1477" t="s">
        <v>13</v>
      </c>
      <c r="D1477" t="s">
        <v>975</v>
      </c>
      <c r="E1477" t="s">
        <v>980</v>
      </c>
      <c r="F1477" t="s">
        <v>796</v>
      </c>
      <c r="G1477" t="str">
        <f>"12864800151"</f>
        <v>12864800151</v>
      </c>
      <c r="I1477" t="s">
        <v>1092</v>
      </c>
      <c r="L1477" t="s">
        <v>41</v>
      </c>
      <c r="M1477">
        <v>5093.12</v>
      </c>
      <c r="AG1477">
        <v>5093.12</v>
      </c>
      <c r="AH1477" s="1">
        <v>41278</v>
      </c>
      <c r="AI1477" s="1">
        <v>41361</v>
      </c>
      <c r="AJ1477" s="1">
        <v>41278</v>
      </c>
    </row>
    <row r="1478" spans="1:36" ht="15">
      <c r="A1478" t="str">
        <f>"Z990935C93"</f>
        <v>Z990935C93</v>
      </c>
      <c r="B1478" t="str">
        <f t="shared" si="68"/>
        <v>02406911202</v>
      </c>
      <c r="C1478" t="s">
        <v>13</v>
      </c>
      <c r="D1478" t="s">
        <v>975</v>
      </c>
      <c r="E1478" t="s">
        <v>1064</v>
      </c>
      <c r="F1478" t="s">
        <v>796</v>
      </c>
      <c r="G1478" t="str">
        <f>"11116290153"</f>
        <v>11116290153</v>
      </c>
      <c r="I1478" t="s">
        <v>711</v>
      </c>
      <c r="L1478" t="s">
        <v>41</v>
      </c>
      <c r="M1478">
        <v>1591.16</v>
      </c>
      <c r="AG1478">
        <v>1591.16</v>
      </c>
      <c r="AH1478" s="1">
        <v>41554</v>
      </c>
      <c r="AI1478" s="1">
        <v>41564</v>
      </c>
      <c r="AJ1478" s="1">
        <v>41554</v>
      </c>
    </row>
    <row r="1479" spans="1:36" ht="15">
      <c r="A1479" t="str">
        <f>"Z9A0555336"</f>
        <v>Z9A0555336</v>
      </c>
      <c r="B1479" t="str">
        <f t="shared" si="68"/>
        <v>02406911202</v>
      </c>
      <c r="C1479" t="s">
        <v>13</v>
      </c>
      <c r="D1479" t="s">
        <v>975</v>
      </c>
      <c r="E1479" t="s">
        <v>1104</v>
      </c>
      <c r="F1479" t="s">
        <v>796</v>
      </c>
      <c r="G1479" t="str">
        <f>"09933630155"</f>
        <v>09933630155</v>
      </c>
      <c r="I1479" t="s">
        <v>409</v>
      </c>
      <c r="L1479" t="s">
        <v>41</v>
      </c>
      <c r="M1479">
        <v>4988</v>
      </c>
      <c r="AG1479">
        <v>4988</v>
      </c>
      <c r="AH1479" s="1">
        <v>41282</v>
      </c>
      <c r="AI1479" s="1">
        <v>41385</v>
      </c>
      <c r="AJ1479" s="1">
        <v>41282</v>
      </c>
    </row>
    <row r="1480" spans="1:36" ht="15">
      <c r="A1480" t="str">
        <f>"Z9D0312A6F"</f>
        <v>Z9D0312A6F</v>
      </c>
      <c r="B1480" t="str">
        <f t="shared" si="68"/>
        <v>02406911202</v>
      </c>
      <c r="C1480" t="s">
        <v>13</v>
      </c>
      <c r="D1480" t="s">
        <v>975</v>
      </c>
      <c r="E1480" t="s">
        <v>1105</v>
      </c>
      <c r="F1480" t="s">
        <v>796</v>
      </c>
      <c r="G1480" t="str">
        <f>"07617050153"</f>
        <v>07617050153</v>
      </c>
      <c r="I1480" t="s">
        <v>1106</v>
      </c>
      <c r="L1480" t="s">
        <v>41</v>
      </c>
      <c r="M1480">
        <v>15625</v>
      </c>
      <c r="AG1480">
        <v>15625</v>
      </c>
      <c r="AH1480" s="1">
        <v>41288</v>
      </c>
      <c r="AI1480" s="1">
        <v>41406</v>
      </c>
      <c r="AJ1480" s="1">
        <v>41288</v>
      </c>
    </row>
    <row r="1481" spans="1:36" ht="15">
      <c r="A1481" t="str">
        <f>"Z9D0A58BF0"</f>
        <v>Z9D0A58BF0</v>
      </c>
      <c r="B1481" t="str">
        <f t="shared" si="68"/>
        <v>02406911202</v>
      </c>
      <c r="C1481" t="s">
        <v>13</v>
      </c>
      <c r="D1481" t="s">
        <v>975</v>
      </c>
      <c r="E1481" t="s">
        <v>1074</v>
      </c>
      <c r="F1481" t="s">
        <v>796</v>
      </c>
      <c r="G1481" t="str">
        <f>"09270550016"</f>
        <v>09270550016</v>
      </c>
      <c r="I1481" t="s">
        <v>542</v>
      </c>
      <c r="L1481" t="s">
        <v>41</v>
      </c>
      <c r="M1481">
        <v>15249.84</v>
      </c>
      <c r="AG1481">
        <v>15249.84</v>
      </c>
      <c r="AH1481" s="1">
        <v>41437</v>
      </c>
      <c r="AI1481" s="1">
        <v>41593</v>
      </c>
      <c r="AJ1481" s="1">
        <v>41437</v>
      </c>
    </row>
    <row r="1482" spans="1:36" ht="15">
      <c r="A1482" t="str">
        <f>"Z9E0D07F2F"</f>
        <v>Z9E0D07F2F</v>
      </c>
      <c r="B1482" t="str">
        <f t="shared" si="68"/>
        <v>02406911202</v>
      </c>
      <c r="C1482" t="s">
        <v>13</v>
      </c>
      <c r="D1482" t="s">
        <v>975</v>
      </c>
      <c r="E1482" t="s">
        <v>1107</v>
      </c>
      <c r="F1482" t="s">
        <v>796</v>
      </c>
      <c r="G1482" t="str">
        <f>"00529971202"</f>
        <v>00529971202</v>
      </c>
      <c r="I1482" t="s">
        <v>1108</v>
      </c>
      <c r="L1482" t="s">
        <v>41</v>
      </c>
      <c r="M1482">
        <v>409.09</v>
      </c>
      <c r="AG1482">
        <v>409.09</v>
      </c>
      <c r="AH1482" s="1">
        <v>41627</v>
      </c>
      <c r="AI1482" s="1">
        <v>41637</v>
      </c>
      <c r="AJ1482" s="1">
        <v>41627</v>
      </c>
    </row>
    <row r="1483" spans="1:36" ht="15">
      <c r="A1483" t="str">
        <f>"Z9F09FDA85"</f>
        <v>Z9F09FDA85</v>
      </c>
      <c r="B1483" t="str">
        <f t="shared" si="68"/>
        <v>02406911202</v>
      </c>
      <c r="C1483" t="s">
        <v>13</v>
      </c>
      <c r="D1483" t="s">
        <v>975</v>
      </c>
      <c r="E1483" t="s">
        <v>979</v>
      </c>
      <c r="F1483" t="s">
        <v>796</v>
      </c>
      <c r="G1483" t="str">
        <f>"11033901007"</f>
        <v>11033901007</v>
      </c>
      <c r="I1483" t="s">
        <v>1109</v>
      </c>
      <c r="L1483" t="s">
        <v>41</v>
      </c>
      <c r="M1483">
        <v>810</v>
      </c>
      <c r="AG1483">
        <v>810</v>
      </c>
      <c r="AH1483" s="1">
        <v>41415</v>
      </c>
      <c r="AI1483" s="1">
        <v>41463</v>
      </c>
      <c r="AJ1483" s="1">
        <v>41415</v>
      </c>
    </row>
    <row r="1484" spans="1:36" ht="15">
      <c r="A1484" t="str">
        <f>"ZA0072F2CB"</f>
        <v>ZA0072F2CB</v>
      </c>
      <c r="B1484" t="str">
        <f t="shared" si="68"/>
        <v>02406911202</v>
      </c>
      <c r="C1484" t="s">
        <v>13</v>
      </c>
      <c r="D1484" t="s">
        <v>975</v>
      </c>
      <c r="E1484" t="s">
        <v>1074</v>
      </c>
      <c r="F1484" t="s">
        <v>796</v>
      </c>
      <c r="G1484" t="str">
        <f>"00847380961"</f>
        <v>00847380961</v>
      </c>
      <c r="I1484" t="s">
        <v>98</v>
      </c>
      <c r="L1484" t="s">
        <v>41</v>
      </c>
      <c r="M1484">
        <v>19639</v>
      </c>
      <c r="AG1484">
        <v>19639</v>
      </c>
      <c r="AH1484" s="1">
        <v>41281</v>
      </c>
      <c r="AI1484" s="1">
        <v>41413</v>
      </c>
      <c r="AJ1484" s="1">
        <v>41281</v>
      </c>
    </row>
    <row r="1485" spans="1:36" ht="15">
      <c r="A1485" t="str">
        <f>"ZA00AE2004"</f>
        <v>ZA00AE2004</v>
      </c>
      <c r="B1485" t="str">
        <f t="shared" si="68"/>
        <v>02406911202</v>
      </c>
      <c r="C1485" t="s">
        <v>13</v>
      </c>
      <c r="D1485" t="s">
        <v>975</v>
      </c>
      <c r="E1485" t="s">
        <v>1053</v>
      </c>
      <c r="F1485" t="s">
        <v>796</v>
      </c>
      <c r="G1485" t="str">
        <f>"10886700011"</f>
        <v>10886700011</v>
      </c>
      <c r="I1485" t="s">
        <v>1110</v>
      </c>
      <c r="L1485" t="s">
        <v>41</v>
      </c>
      <c r="M1485">
        <v>2950</v>
      </c>
      <c r="AG1485">
        <v>2950</v>
      </c>
      <c r="AH1485" s="1">
        <v>41478</v>
      </c>
      <c r="AI1485" s="1">
        <v>41488</v>
      </c>
      <c r="AJ1485" s="1">
        <v>41478</v>
      </c>
    </row>
    <row r="1486" spans="1:36" ht="15">
      <c r="A1486" t="str">
        <f>"ZA203A7A52"</f>
        <v>ZA203A7A52</v>
      </c>
      <c r="B1486" t="str">
        <f t="shared" si="68"/>
        <v>02406911202</v>
      </c>
      <c r="C1486" t="s">
        <v>13</v>
      </c>
      <c r="D1486" t="s">
        <v>975</v>
      </c>
      <c r="E1486" t="s">
        <v>1111</v>
      </c>
      <c r="F1486" t="s">
        <v>796</v>
      </c>
      <c r="G1486" t="str">
        <f>"02971380247"</f>
        <v>02971380247</v>
      </c>
      <c r="I1486" t="s">
        <v>1112</v>
      </c>
      <c r="L1486" t="s">
        <v>41</v>
      </c>
      <c r="M1486">
        <v>2167.5</v>
      </c>
      <c r="AG1486">
        <v>2167.5</v>
      </c>
      <c r="AH1486" s="1">
        <v>41530</v>
      </c>
      <c r="AI1486" s="1">
        <v>41540</v>
      </c>
      <c r="AJ1486" s="1">
        <v>41530</v>
      </c>
    </row>
    <row r="1487" spans="1:36" ht="15">
      <c r="A1487" t="str">
        <f>"ZA20552262"</f>
        <v>ZA20552262</v>
      </c>
      <c r="B1487" t="str">
        <f t="shared" si="68"/>
        <v>02406911202</v>
      </c>
      <c r="C1487" t="s">
        <v>13</v>
      </c>
      <c r="D1487" t="s">
        <v>975</v>
      </c>
      <c r="E1487" t="s">
        <v>979</v>
      </c>
      <c r="F1487" t="s">
        <v>796</v>
      </c>
      <c r="G1487" t="str">
        <f>"06600500158"</f>
        <v>06600500158</v>
      </c>
      <c r="I1487" t="s">
        <v>176</v>
      </c>
      <c r="L1487" t="s">
        <v>41</v>
      </c>
      <c r="M1487">
        <v>18684.4</v>
      </c>
      <c r="AG1487">
        <v>18684.4</v>
      </c>
      <c r="AH1487" s="1">
        <v>41285</v>
      </c>
      <c r="AI1487" s="1">
        <v>41537</v>
      </c>
      <c r="AJ1487" s="1">
        <v>41285</v>
      </c>
    </row>
    <row r="1488" spans="1:36" ht="15">
      <c r="A1488" t="str">
        <f>"ZB200A1A69"</f>
        <v>ZB200A1A69</v>
      </c>
      <c r="B1488" t="str">
        <f t="shared" si="68"/>
        <v>02406911202</v>
      </c>
      <c r="C1488" t="s">
        <v>13</v>
      </c>
      <c r="D1488" t="s">
        <v>975</v>
      </c>
      <c r="E1488" t="s">
        <v>1072</v>
      </c>
      <c r="F1488" t="s">
        <v>796</v>
      </c>
      <c r="G1488" t="str">
        <f>"09771860153"</f>
        <v>09771860153</v>
      </c>
      <c r="I1488" t="s">
        <v>1113</v>
      </c>
      <c r="L1488" t="s">
        <v>41</v>
      </c>
      <c r="M1488">
        <v>3246.95</v>
      </c>
      <c r="AG1488">
        <v>3246.95</v>
      </c>
      <c r="AH1488" s="1">
        <v>41439</v>
      </c>
      <c r="AI1488" s="1">
        <v>41449</v>
      </c>
      <c r="AJ1488" s="1">
        <v>41439</v>
      </c>
    </row>
    <row r="1489" spans="1:36" ht="15">
      <c r="A1489" t="str">
        <f>"ZB206AB8B2"</f>
        <v>ZB206AB8B2</v>
      </c>
      <c r="B1489" t="str">
        <f t="shared" si="68"/>
        <v>02406911202</v>
      </c>
      <c r="C1489" t="s">
        <v>13</v>
      </c>
      <c r="D1489" t="s">
        <v>975</v>
      </c>
      <c r="E1489" t="s">
        <v>1074</v>
      </c>
      <c r="F1489" t="s">
        <v>796</v>
      </c>
      <c r="G1489" t="str">
        <f>"12512890158"</f>
        <v>12512890158</v>
      </c>
      <c r="I1489" t="s">
        <v>540</v>
      </c>
      <c r="L1489" t="s">
        <v>41</v>
      </c>
      <c r="M1489">
        <v>4488.1</v>
      </c>
      <c r="AG1489">
        <v>4488.1</v>
      </c>
      <c r="AH1489" s="1">
        <v>41341</v>
      </c>
      <c r="AI1489" s="1">
        <v>41351</v>
      </c>
      <c r="AJ1489" s="1">
        <v>41341</v>
      </c>
    </row>
    <row r="1490" spans="1:36" ht="15">
      <c r="A1490" t="str">
        <f>"ZB50097A6C"</f>
        <v>ZB50097A6C</v>
      </c>
      <c r="B1490" t="str">
        <f t="shared" si="68"/>
        <v>02406911202</v>
      </c>
      <c r="C1490" t="s">
        <v>13</v>
      </c>
      <c r="D1490" t="s">
        <v>975</v>
      </c>
      <c r="E1490" t="s">
        <v>1114</v>
      </c>
      <c r="F1490" t="s">
        <v>796</v>
      </c>
      <c r="G1490" t="str">
        <f>"01052730296"</f>
        <v>01052730296</v>
      </c>
      <c r="I1490" t="s">
        <v>1115</v>
      </c>
      <c r="L1490" t="s">
        <v>41</v>
      </c>
      <c r="M1490">
        <v>832.14</v>
      </c>
      <c r="AG1490">
        <v>832.14</v>
      </c>
      <c r="AH1490" s="1">
        <v>41324</v>
      </c>
      <c r="AI1490" s="1">
        <v>41334</v>
      </c>
      <c r="AJ1490" s="1">
        <v>41324</v>
      </c>
    </row>
    <row r="1491" spans="1:36" ht="15">
      <c r="A1491" t="str">
        <f>"ZB50821758"</f>
        <v>ZB50821758</v>
      </c>
      <c r="B1491" t="str">
        <f t="shared" si="68"/>
        <v>02406911202</v>
      </c>
      <c r="C1491" t="s">
        <v>13</v>
      </c>
      <c r="D1491" t="s">
        <v>975</v>
      </c>
      <c r="E1491" t="s">
        <v>1054</v>
      </c>
      <c r="F1491" t="s">
        <v>796</v>
      </c>
      <c r="G1491" t="str">
        <f>"08082461008"</f>
        <v>08082461008</v>
      </c>
      <c r="I1491" t="s">
        <v>132</v>
      </c>
      <c r="L1491" t="s">
        <v>41</v>
      </c>
      <c r="M1491">
        <v>3780</v>
      </c>
      <c r="AG1491">
        <v>3780</v>
      </c>
      <c r="AH1491" s="1">
        <v>41288</v>
      </c>
      <c r="AI1491" s="1">
        <v>41298</v>
      </c>
      <c r="AJ1491" s="1">
        <v>41288</v>
      </c>
    </row>
    <row r="1492" spans="1:36" ht="15">
      <c r="A1492" t="str">
        <f>"ZB6050BF41"</f>
        <v>ZB6050BF41</v>
      </c>
      <c r="B1492" t="str">
        <f t="shared" si="68"/>
        <v>02406911202</v>
      </c>
      <c r="C1492" t="s">
        <v>13</v>
      </c>
      <c r="D1492" t="s">
        <v>975</v>
      </c>
      <c r="E1492" t="s">
        <v>979</v>
      </c>
      <c r="F1492" t="s">
        <v>796</v>
      </c>
      <c r="G1492" t="str">
        <f>"07351260158"</f>
        <v>07351260158</v>
      </c>
      <c r="I1492" t="s">
        <v>1052</v>
      </c>
      <c r="L1492" t="s">
        <v>41</v>
      </c>
      <c r="M1492">
        <v>4677.78</v>
      </c>
      <c r="AG1492">
        <v>4677.78</v>
      </c>
      <c r="AH1492" s="1">
        <v>41281</v>
      </c>
      <c r="AI1492" s="1">
        <v>41334</v>
      </c>
      <c r="AJ1492" s="1">
        <v>41281</v>
      </c>
    </row>
    <row r="1493" spans="1:36" ht="15">
      <c r="A1493" t="str">
        <f>"ZB60950808"</f>
        <v>ZB60950808</v>
      </c>
      <c r="B1493" t="str">
        <f t="shared" si="68"/>
        <v>02406911202</v>
      </c>
      <c r="C1493" t="s">
        <v>13</v>
      </c>
      <c r="D1493" t="s">
        <v>975</v>
      </c>
      <c r="E1493" t="s">
        <v>1054</v>
      </c>
      <c r="F1493" t="s">
        <v>796</v>
      </c>
      <c r="G1493" t="str">
        <f>"09012850153"</f>
        <v>09012850153</v>
      </c>
      <c r="I1493" t="s">
        <v>443</v>
      </c>
      <c r="L1493" t="s">
        <v>41</v>
      </c>
      <c r="M1493">
        <v>19175</v>
      </c>
      <c r="AG1493">
        <v>19175</v>
      </c>
      <c r="AH1493" s="1">
        <v>41362</v>
      </c>
      <c r="AI1493" s="1">
        <v>41424</v>
      </c>
      <c r="AJ1493" s="1">
        <v>41362</v>
      </c>
    </row>
    <row r="1494" spans="1:36" ht="15">
      <c r="A1494" t="str">
        <f>"ZB70073C68"</f>
        <v>ZB70073C68</v>
      </c>
      <c r="B1494" t="str">
        <f t="shared" si="68"/>
        <v>02406911202</v>
      </c>
      <c r="C1494" t="s">
        <v>13</v>
      </c>
      <c r="D1494" t="s">
        <v>975</v>
      </c>
      <c r="E1494" t="s">
        <v>1116</v>
      </c>
      <c r="F1494" t="s">
        <v>796</v>
      </c>
      <c r="G1494" t="str">
        <f>"02803441209"</f>
        <v>02803441209</v>
      </c>
      <c r="I1494" t="s">
        <v>1117</v>
      </c>
      <c r="L1494" t="s">
        <v>41</v>
      </c>
      <c r="M1494">
        <v>2758.5</v>
      </c>
      <c r="AG1494">
        <v>2758.5</v>
      </c>
      <c r="AH1494" s="1">
        <v>41278</v>
      </c>
      <c r="AI1494" s="1">
        <v>41603</v>
      </c>
      <c r="AJ1494" s="1">
        <v>41278</v>
      </c>
    </row>
    <row r="1495" spans="1:36" ht="15">
      <c r="A1495" t="str">
        <f>"ZB903428DD"</f>
        <v>ZB903428DD</v>
      </c>
      <c r="B1495" t="str">
        <f t="shared" si="68"/>
        <v>02406911202</v>
      </c>
      <c r="C1495" t="s">
        <v>13</v>
      </c>
      <c r="D1495" t="s">
        <v>975</v>
      </c>
      <c r="E1495" t="s">
        <v>978</v>
      </c>
      <c r="F1495" t="s">
        <v>796</v>
      </c>
      <c r="G1495" t="str">
        <f>"00495451205"</f>
        <v>00495451205</v>
      </c>
      <c r="I1495" t="s">
        <v>183</v>
      </c>
      <c r="L1495" t="s">
        <v>41</v>
      </c>
      <c r="M1495">
        <v>13122.07</v>
      </c>
      <c r="AG1495">
        <v>13405.14</v>
      </c>
      <c r="AH1495" s="1">
        <v>41338</v>
      </c>
      <c r="AI1495" s="1">
        <v>41600</v>
      </c>
      <c r="AJ1495" s="1">
        <v>41338</v>
      </c>
    </row>
    <row r="1496" spans="1:36" ht="15">
      <c r="A1496" t="str">
        <f>"ZBC07D82A1"</f>
        <v>ZBC07D82A1</v>
      </c>
      <c r="B1496" t="str">
        <f t="shared" si="68"/>
        <v>02406911202</v>
      </c>
      <c r="C1496" t="s">
        <v>13</v>
      </c>
      <c r="D1496" t="s">
        <v>975</v>
      </c>
      <c r="E1496" t="s">
        <v>979</v>
      </c>
      <c r="F1496" t="s">
        <v>796</v>
      </c>
      <c r="G1496" t="str">
        <f>"05896100962"</f>
        <v>05896100962</v>
      </c>
      <c r="I1496" t="s">
        <v>1118</v>
      </c>
      <c r="L1496" t="s">
        <v>41</v>
      </c>
      <c r="M1496">
        <v>9450</v>
      </c>
      <c r="AG1496">
        <v>9787.5</v>
      </c>
      <c r="AH1496" s="1">
        <v>41278</v>
      </c>
      <c r="AI1496" s="1">
        <v>41517</v>
      </c>
      <c r="AJ1496" s="1">
        <v>41278</v>
      </c>
    </row>
    <row r="1497" spans="1:36" ht="15">
      <c r="A1497" t="str">
        <f>"ZBD05658DE"</f>
        <v>ZBD05658DE</v>
      </c>
      <c r="B1497" t="str">
        <f t="shared" si="68"/>
        <v>02406911202</v>
      </c>
      <c r="C1497" t="s">
        <v>13</v>
      </c>
      <c r="D1497" t="s">
        <v>975</v>
      </c>
      <c r="E1497" t="s">
        <v>979</v>
      </c>
      <c r="F1497" t="s">
        <v>796</v>
      </c>
      <c r="G1497" t="str">
        <f>"10309021003"</f>
        <v>10309021003</v>
      </c>
      <c r="I1497" t="s">
        <v>1119</v>
      </c>
      <c r="L1497" t="s">
        <v>41</v>
      </c>
      <c r="M1497">
        <v>10615</v>
      </c>
      <c r="AG1497">
        <v>10615</v>
      </c>
      <c r="AH1497" s="1">
        <v>41283</v>
      </c>
      <c r="AI1497" s="1">
        <v>41466</v>
      </c>
      <c r="AJ1497" s="1">
        <v>41283</v>
      </c>
    </row>
    <row r="1498" spans="1:36" ht="15">
      <c r="A1498" t="str">
        <f>"ZBE0B1AB31"</f>
        <v>ZBE0B1AB31</v>
      </c>
      <c r="B1498" t="str">
        <f t="shared" si="68"/>
        <v>02406911202</v>
      </c>
      <c r="C1498" t="s">
        <v>13</v>
      </c>
      <c r="D1498" t="s">
        <v>975</v>
      </c>
      <c r="E1498" t="s">
        <v>1120</v>
      </c>
      <c r="F1498" t="s">
        <v>796</v>
      </c>
      <c r="G1498" t="str">
        <f>"00305700189"</f>
        <v>00305700189</v>
      </c>
      <c r="I1498" t="s">
        <v>1121</v>
      </c>
      <c r="L1498" t="s">
        <v>41</v>
      </c>
      <c r="M1498">
        <v>1026</v>
      </c>
      <c r="AG1498">
        <v>1026</v>
      </c>
      <c r="AH1498" s="1">
        <v>41488</v>
      </c>
      <c r="AI1498" s="1">
        <v>41498</v>
      </c>
      <c r="AJ1498" s="1">
        <v>41488</v>
      </c>
    </row>
    <row r="1499" spans="1:36" ht="15">
      <c r="A1499" t="str">
        <f>"ZC101AEACA"</f>
        <v>ZC101AEACA</v>
      </c>
      <c r="B1499" t="str">
        <f t="shared" si="68"/>
        <v>02406911202</v>
      </c>
      <c r="C1499" t="s">
        <v>13</v>
      </c>
      <c r="D1499" t="s">
        <v>975</v>
      </c>
      <c r="E1499" t="s">
        <v>1074</v>
      </c>
      <c r="F1499" t="s">
        <v>796</v>
      </c>
      <c r="G1499" t="str">
        <f>"06032681006"</f>
        <v>06032681006</v>
      </c>
      <c r="I1499" t="s">
        <v>342</v>
      </c>
      <c r="L1499" t="s">
        <v>41</v>
      </c>
      <c r="M1499">
        <v>18824.5</v>
      </c>
      <c r="AG1499">
        <v>18824.5</v>
      </c>
      <c r="AH1499" s="1">
        <v>41429</v>
      </c>
      <c r="AI1499" s="1">
        <v>41489</v>
      </c>
      <c r="AJ1499" s="1">
        <v>41429</v>
      </c>
    </row>
    <row r="1500" spans="1:36" ht="15">
      <c r="A1500" t="str">
        <f>"ZC10C1175E"</f>
        <v>ZC10C1175E</v>
      </c>
      <c r="B1500" t="str">
        <f t="shared" si="68"/>
        <v>02406911202</v>
      </c>
      <c r="C1500" t="s">
        <v>13</v>
      </c>
      <c r="D1500" t="s">
        <v>975</v>
      </c>
      <c r="E1500" t="s">
        <v>1122</v>
      </c>
      <c r="F1500" t="s">
        <v>796</v>
      </c>
      <c r="G1500" t="str">
        <f>"01809430760"</f>
        <v>01809430760</v>
      </c>
      <c r="I1500" t="s">
        <v>1123</v>
      </c>
      <c r="L1500" t="s">
        <v>41</v>
      </c>
      <c r="M1500">
        <v>160.19</v>
      </c>
      <c r="AG1500">
        <v>160.19</v>
      </c>
      <c r="AH1500" s="1">
        <v>41572</v>
      </c>
      <c r="AI1500" s="1">
        <v>41582</v>
      </c>
      <c r="AJ1500" s="1">
        <v>41572</v>
      </c>
    </row>
    <row r="1501" spans="1:36" ht="15">
      <c r="A1501" t="str">
        <f>"ZC3071D12F"</f>
        <v>ZC3071D12F</v>
      </c>
      <c r="B1501" t="str">
        <f t="shared" si="68"/>
        <v>02406911202</v>
      </c>
      <c r="C1501" t="s">
        <v>13</v>
      </c>
      <c r="D1501" t="s">
        <v>975</v>
      </c>
      <c r="E1501" t="s">
        <v>1124</v>
      </c>
      <c r="F1501" t="s">
        <v>796</v>
      </c>
      <c r="G1501" t="str">
        <f>"10994940152"</f>
        <v>10994940152</v>
      </c>
      <c r="I1501" t="s">
        <v>755</v>
      </c>
      <c r="L1501" t="s">
        <v>41</v>
      </c>
      <c r="M1501">
        <v>20360.75</v>
      </c>
      <c r="AG1501">
        <v>20360.75</v>
      </c>
      <c r="AH1501" s="1">
        <v>41284</v>
      </c>
      <c r="AI1501" s="1">
        <v>41418</v>
      </c>
      <c r="AJ1501" s="1">
        <v>41284</v>
      </c>
    </row>
    <row r="1502" spans="1:36" ht="15">
      <c r="A1502" t="str">
        <f>"ZCE0A93C97"</f>
        <v>ZCE0A93C97</v>
      </c>
      <c r="B1502" t="str">
        <f t="shared" si="68"/>
        <v>02406911202</v>
      </c>
      <c r="C1502" t="s">
        <v>13</v>
      </c>
      <c r="D1502" t="s">
        <v>975</v>
      </c>
      <c r="E1502" t="s">
        <v>1125</v>
      </c>
      <c r="F1502" t="s">
        <v>796</v>
      </c>
      <c r="G1502" t="str">
        <f>"10517560156"</f>
        <v>10517560156</v>
      </c>
      <c r="I1502" t="s">
        <v>1126</v>
      </c>
      <c r="L1502" t="s">
        <v>41</v>
      </c>
      <c r="M1502">
        <v>945.21</v>
      </c>
      <c r="AG1502">
        <v>945.21</v>
      </c>
      <c r="AH1502" s="1">
        <v>41453</v>
      </c>
      <c r="AI1502" s="1">
        <v>41463</v>
      </c>
      <c r="AJ1502" s="1">
        <v>41453</v>
      </c>
    </row>
    <row r="1503" spans="1:36" ht="15">
      <c r="A1503" t="str">
        <f>"ZCF0A6C089"</f>
        <v>ZCF0A6C089</v>
      </c>
      <c r="B1503" t="str">
        <f t="shared" si="68"/>
        <v>02406911202</v>
      </c>
      <c r="C1503" t="s">
        <v>13</v>
      </c>
      <c r="D1503" t="s">
        <v>975</v>
      </c>
      <c r="E1503" t="s">
        <v>979</v>
      </c>
      <c r="F1503" t="s">
        <v>796</v>
      </c>
      <c r="G1503" t="str">
        <f>"06600500158"</f>
        <v>06600500158</v>
      </c>
      <c r="I1503" t="s">
        <v>176</v>
      </c>
      <c r="L1503" t="s">
        <v>41</v>
      </c>
      <c r="M1503">
        <v>22930.88</v>
      </c>
      <c r="AG1503">
        <v>22930.88</v>
      </c>
      <c r="AH1503" s="1">
        <v>41443</v>
      </c>
      <c r="AI1503" s="1">
        <v>41552</v>
      </c>
      <c r="AJ1503" s="1">
        <v>41443</v>
      </c>
    </row>
    <row r="1504" spans="1:36" ht="15">
      <c r="A1504" t="str">
        <f>"ZD305E4E16"</f>
        <v>ZD305E4E16</v>
      </c>
      <c r="B1504" t="str">
        <f t="shared" si="68"/>
        <v>02406911202</v>
      </c>
      <c r="C1504" t="s">
        <v>13</v>
      </c>
      <c r="D1504" t="s">
        <v>975</v>
      </c>
      <c r="E1504" t="s">
        <v>1127</v>
      </c>
      <c r="F1504" t="s">
        <v>796</v>
      </c>
      <c r="G1504" t="str">
        <f>"09279340153"</f>
        <v>09279340153</v>
      </c>
      <c r="I1504" t="s">
        <v>1128</v>
      </c>
      <c r="L1504" t="s">
        <v>41</v>
      </c>
      <c r="M1504">
        <v>6030.5</v>
      </c>
      <c r="AG1504">
        <v>6030.5</v>
      </c>
      <c r="AH1504" s="1">
        <v>41285</v>
      </c>
      <c r="AI1504" s="1">
        <v>41347</v>
      </c>
      <c r="AJ1504" s="1">
        <v>41285</v>
      </c>
    </row>
    <row r="1505" spans="1:36" ht="15">
      <c r="A1505" t="str">
        <f>"ZD6037EF94"</f>
        <v>ZD6037EF94</v>
      </c>
      <c r="B1505" t="str">
        <f t="shared" si="68"/>
        <v>02406911202</v>
      </c>
      <c r="C1505" t="s">
        <v>13</v>
      </c>
      <c r="D1505" t="s">
        <v>975</v>
      </c>
      <c r="E1505" t="s">
        <v>1129</v>
      </c>
      <c r="F1505" t="s">
        <v>796</v>
      </c>
      <c r="G1505" t="str">
        <f>"00615700374"</f>
        <v>00615700374</v>
      </c>
      <c r="I1505" t="s">
        <v>172</v>
      </c>
      <c r="L1505" t="s">
        <v>41</v>
      </c>
      <c r="M1505">
        <v>15030</v>
      </c>
      <c r="AG1505">
        <v>15030</v>
      </c>
      <c r="AH1505" s="1">
        <v>41449</v>
      </c>
      <c r="AI1505" s="1">
        <v>41573</v>
      </c>
      <c r="AJ1505" s="1">
        <v>41449</v>
      </c>
    </row>
    <row r="1506" spans="1:36" ht="15">
      <c r="A1506" t="str">
        <f>"ZD608A09E3"</f>
        <v>ZD608A09E3</v>
      </c>
      <c r="B1506" t="str">
        <f t="shared" si="68"/>
        <v>02406911202</v>
      </c>
      <c r="C1506" t="s">
        <v>13</v>
      </c>
      <c r="D1506" t="s">
        <v>975</v>
      </c>
      <c r="E1506" t="s">
        <v>979</v>
      </c>
      <c r="F1506" t="s">
        <v>796</v>
      </c>
      <c r="G1506" t="str">
        <f>"06600500158"</f>
        <v>06600500158</v>
      </c>
      <c r="I1506" t="s">
        <v>176</v>
      </c>
      <c r="L1506" t="s">
        <v>41</v>
      </c>
      <c r="M1506">
        <v>23149</v>
      </c>
      <c r="AG1506">
        <v>23149</v>
      </c>
      <c r="AH1506" s="1">
        <v>41317</v>
      </c>
      <c r="AI1506" s="1">
        <v>41453</v>
      </c>
      <c r="AJ1506" s="1">
        <v>41317</v>
      </c>
    </row>
    <row r="1507" spans="1:36" ht="15">
      <c r="A1507" t="str">
        <f>"ZD7016D994"</f>
        <v>ZD7016D994</v>
      </c>
      <c r="B1507" t="str">
        <f t="shared" si="68"/>
        <v>02406911202</v>
      </c>
      <c r="C1507" t="s">
        <v>13</v>
      </c>
      <c r="D1507" t="s">
        <v>975</v>
      </c>
      <c r="E1507" t="s">
        <v>1130</v>
      </c>
      <c r="F1507" t="s">
        <v>796</v>
      </c>
      <c r="G1507" t="str">
        <f>"01364640233"</f>
        <v>01364640233</v>
      </c>
      <c r="I1507" t="s">
        <v>1131</v>
      </c>
      <c r="L1507" t="s">
        <v>41</v>
      </c>
      <c r="M1507">
        <v>9190</v>
      </c>
      <c r="AG1507">
        <v>9190</v>
      </c>
      <c r="AH1507" s="1">
        <v>41291</v>
      </c>
      <c r="AI1507" s="1">
        <v>41543</v>
      </c>
      <c r="AJ1507" s="1">
        <v>41291</v>
      </c>
    </row>
    <row r="1508" spans="1:36" ht="15">
      <c r="A1508" t="str">
        <f>"ZD90A2C690"</f>
        <v>ZD90A2C690</v>
      </c>
      <c r="B1508" t="str">
        <f t="shared" si="68"/>
        <v>02406911202</v>
      </c>
      <c r="C1508" t="s">
        <v>13</v>
      </c>
      <c r="D1508" t="s">
        <v>975</v>
      </c>
      <c r="E1508" t="s">
        <v>1132</v>
      </c>
      <c r="F1508" t="s">
        <v>796</v>
      </c>
      <c r="G1508" t="str">
        <f>"00926020066"</f>
        <v>00926020066</v>
      </c>
      <c r="I1508" t="s">
        <v>1017</v>
      </c>
      <c r="L1508" t="s">
        <v>41</v>
      </c>
      <c r="M1508">
        <v>802.56</v>
      </c>
      <c r="AG1508">
        <v>802.56</v>
      </c>
      <c r="AH1508" s="1">
        <v>41456</v>
      </c>
      <c r="AI1508" s="1">
        <v>41503</v>
      </c>
      <c r="AJ1508" s="1">
        <v>41456</v>
      </c>
    </row>
    <row r="1509" spans="1:36" ht="15">
      <c r="A1509" t="str">
        <f>"ZDA091422B"</f>
        <v>ZDA091422B</v>
      </c>
      <c r="B1509" t="str">
        <f t="shared" si="68"/>
        <v>02406911202</v>
      </c>
      <c r="C1509" t="s">
        <v>13</v>
      </c>
      <c r="D1509" t="s">
        <v>975</v>
      </c>
      <c r="E1509" t="s">
        <v>1067</v>
      </c>
      <c r="F1509" t="s">
        <v>796</v>
      </c>
      <c r="G1509" t="str">
        <f>"07351260158"</f>
        <v>07351260158</v>
      </c>
      <c r="I1509" t="s">
        <v>1052</v>
      </c>
      <c r="L1509" t="s">
        <v>41</v>
      </c>
      <c r="M1509">
        <v>4675.43</v>
      </c>
      <c r="AG1509">
        <v>4677.95</v>
      </c>
      <c r="AH1509" s="1">
        <v>41346</v>
      </c>
      <c r="AI1509" s="1">
        <v>41517</v>
      </c>
      <c r="AJ1509" s="1">
        <v>41346</v>
      </c>
    </row>
    <row r="1510" spans="1:36" ht="15">
      <c r="A1510" t="str">
        <f>"ZDB05050A1"</f>
        <v>ZDB05050A1</v>
      </c>
      <c r="B1510" t="str">
        <f t="shared" si="68"/>
        <v>02406911202</v>
      </c>
      <c r="C1510" t="s">
        <v>13</v>
      </c>
      <c r="D1510" t="s">
        <v>975</v>
      </c>
      <c r="E1510" t="s">
        <v>1133</v>
      </c>
      <c r="F1510" t="s">
        <v>796</v>
      </c>
      <c r="G1510" t="str">
        <f>"12250050155"</f>
        <v>12250050155</v>
      </c>
      <c r="I1510" t="s">
        <v>1134</v>
      </c>
      <c r="L1510" t="s">
        <v>41</v>
      </c>
      <c r="M1510">
        <v>12134.35</v>
      </c>
      <c r="AG1510">
        <v>12134.35</v>
      </c>
      <c r="AH1510" s="1">
        <v>41282</v>
      </c>
      <c r="AI1510" s="1">
        <v>41341</v>
      </c>
      <c r="AJ1510" s="1">
        <v>41282</v>
      </c>
    </row>
    <row r="1511" spans="1:36" ht="15">
      <c r="A1511" t="str">
        <f>"ZDB06ECF1F"</f>
        <v>ZDB06ECF1F</v>
      </c>
      <c r="B1511" t="str">
        <f t="shared" si="68"/>
        <v>02406911202</v>
      </c>
      <c r="C1511" t="s">
        <v>13</v>
      </c>
      <c r="D1511" t="s">
        <v>975</v>
      </c>
      <c r="E1511" t="s">
        <v>979</v>
      </c>
      <c r="F1511" t="s">
        <v>796</v>
      </c>
      <c r="G1511" t="str">
        <f>"11575580151"</f>
        <v>11575580151</v>
      </c>
      <c r="I1511" t="s">
        <v>570</v>
      </c>
      <c r="L1511" t="s">
        <v>41</v>
      </c>
      <c r="M1511">
        <v>28912.57</v>
      </c>
      <c r="AG1511">
        <v>28912.57</v>
      </c>
      <c r="AH1511" s="1">
        <v>41282</v>
      </c>
      <c r="AI1511" s="1">
        <v>41446</v>
      </c>
      <c r="AJ1511" s="1">
        <v>41282</v>
      </c>
    </row>
    <row r="1512" spans="1:36" ht="15">
      <c r="A1512" t="str">
        <f>"ZDB08A7716"</f>
        <v>ZDB08A7716</v>
      </c>
      <c r="B1512" t="str">
        <f t="shared" si="68"/>
        <v>02406911202</v>
      </c>
      <c r="C1512" t="s">
        <v>13</v>
      </c>
      <c r="D1512" t="s">
        <v>975</v>
      </c>
      <c r="E1512" t="s">
        <v>1054</v>
      </c>
      <c r="F1512" t="s">
        <v>796</v>
      </c>
      <c r="G1512" t="str">
        <f>"09012850153"</f>
        <v>09012850153</v>
      </c>
      <c r="I1512" t="s">
        <v>443</v>
      </c>
      <c r="L1512" t="s">
        <v>41</v>
      </c>
      <c r="M1512">
        <v>19080</v>
      </c>
      <c r="AG1512">
        <v>19080</v>
      </c>
      <c r="AH1512" s="1">
        <v>41319</v>
      </c>
      <c r="AI1512" s="1">
        <v>41342</v>
      </c>
      <c r="AJ1512" s="1">
        <v>41319</v>
      </c>
    </row>
    <row r="1513" spans="1:36" ht="15">
      <c r="A1513" t="str">
        <f>"ZE00B08178"</f>
        <v>ZE00B08178</v>
      </c>
      <c r="B1513" t="str">
        <f t="shared" si="68"/>
        <v>02406911202</v>
      </c>
      <c r="C1513" t="s">
        <v>13</v>
      </c>
      <c r="D1513" t="s">
        <v>975</v>
      </c>
      <c r="E1513" t="s">
        <v>979</v>
      </c>
      <c r="F1513" t="s">
        <v>796</v>
      </c>
      <c r="G1513" t="str">
        <f>"07245150961"</f>
        <v>07245150961</v>
      </c>
      <c r="I1513" t="s">
        <v>1135</v>
      </c>
      <c r="L1513" t="s">
        <v>41</v>
      </c>
      <c r="M1513">
        <v>1000</v>
      </c>
      <c r="AG1513">
        <v>1000</v>
      </c>
      <c r="AH1513" s="1">
        <v>41481</v>
      </c>
      <c r="AI1513" s="1">
        <v>41491</v>
      </c>
      <c r="AJ1513" s="1">
        <v>41481</v>
      </c>
    </row>
    <row r="1514" spans="1:36" ht="15">
      <c r="A1514" t="str">
        <f>"ZE10224613"</f>
        <v>ZE10224613</v>
      </c>
      <c r="B1514" t="str">
        <f t="shared" si="68"/>
        <v>02406911202</v>
      </c>
      <c r="C1514" t="s">
        <v>13</v>
      </c>
      <c r="D1514" t="s">
        <v>975</v>
      </c>
      <c r="E1514" t="s">
        <v>1136</v>
      </c>
      <c r="F1514" t="s">
        <v>796</v>
      </c>
      <c r="G1514" t="str">
        <f>"05526631006"</f>
        <v>05526631006</v>
      </c>
      <c r="I1514" t="s">
        <v>1137</v>
      </c>
      <c r="L1514" t="s">
        <v>41</v>
      </c>
      <c r="M1514">
        <v>1911</v>
      </c>
      <c r="AG1514">
        <v>1911</v>
      </c>
      <c r="AH1514" s="1">
        <v>41372</v>
      </c>
      <c r="AI1514" s="1">
        <v>41488</v>
      </c>
      <c r="AJ1514" s="1">
        <v>41372</v>
      </c>
    </row>
    <row r="1515" spans="1:36" ht="15">
      <c r="A1515" t="str">
        <f>"ZE109762D8"</f>
        <v>ZE109762D8</v>
      </c>
      <c r="B1515" t="str">
        <f t="shared" si="68"/>
        <v>02406911202</v>
      </c>
      <c r="C1515" t="s">
        <v>13</v>
      </c>
      <c r="D1515" t="s">
        <v>975</v>
      </c>
      <c r="E1515" t="s">
        <v>1122</v>
      </c>
      <c r="F1515" t="s">
        <v>796</v>
      </c>
      <c r="G1515" t="str">
        <f>"11846301007"</f>
        <v>11846301007</v>
      </c>
      <c r="I1515" t="s">
        <v>577</v>
      </c>
      <c r="L1515" t="s">
        <v>41</v>
      </c>
      <c r="M1515">
        <v>18816</v>
      </c>
      <c r="AG1515">
        <v>18816</v>
      </c>
      <c r="AH1515" s="1">
        <v>41375</v>
      </c>
      <c r="AI1515" s="1">
        <v>41564</v>
      </c>
      <c r="AJ1515" s="1">
        <v>41375</v>
      </c>
    </row>
    <row r="1516" spans="1:36" ht="15">
      <c r="A1516" t="str">
        <f>"ZE20827FA3"</f>
        <v>ZE20827FA3</v>
      </c>
      <c r="B1516" t="str">
        <f t="shared" si="68"/>
        <v>02406911202</v>
      </c>
      <c r="C1516" t="s">
        <v>13</v>
      </c>
      <c r="D1516" t="s">
        <v>975</v>
      </c>
      <c r="E1516" t="s">
        <v>1054</v>
      </c>
      <c r="F1516" t="s">
        <v>796</v>
      </c>
      <c r="G1516" t="str">
        <f>"10365950152"</f>
        <v>10365950152</v>
      </c>
      <c r="I1516" t="s">
        <v>1138</v>
      </c>
      <c r="L1516" t="s">
        <v>41</v>
      </c>
      <c r="M1516">
        <v>19749.5</v>
      </c>
      <c r="AG1516">
        <v>19749.5</v>
      </c>
      <c r="AH1516" s="1">
        <v>41289</v>
      </c>
      <c r="AI1516" s="1">
        <v>41637</v>
      </c>
      <c r="AJ1516" s="1">
        <v>41289</v>
      </c>
    </row>
    <row r="1517" spans="1:36" ht="15">
      <c r="A1517" t="str">
        <f>"ZE6009BC93"</f>
        <v>ZE6009BC93</v>
      </c>
      <c r="B1517" t="str">
        <f t="shared" si="68"/>
        <v>02406911202</v>
      </c>
      <c r="C1517" t="s">
        <v>13</v>
      </c>
      <c r="D1517" t="s">
        <v>975</v>
      </c>
      <c r="E1517" t="s">
        <v>1139</v>
      </c>
      <c r="F1517" t="s">
        <v>796</v>
      </c>
      <c r="G1517" t="str">
        <f>"06032681006"</f>
        <v>06032681006</v>
      </c>
      <c r="I1517" t="s">
        <v>342</v>
      </c>
      <c r="L1517" t="s">
        <v>41</v>
      </c>
      <c r="M1517">
        <v>735</v>
      </c>
      <c r="AG1517">
        <v>735</v>
      </c>
      <c r="AH1517" s="1">
        <v>41421</v>
      </c>
      <c r="AI1517" s="1">
        <v>41431</v>
      </c>
      <c r="AJ1517" s="1">
        <v>41421</v>
      </c>
    </row>
    <row r="1518" spans="1:36" ht="15">
      <c r="A1518" t="str">
        <f>"ZE70881C64"</f>
        <v>ZE70881C64</v>
      </c>
      <c r="B1518" t="str">
        <f t="shared" si="68"/>
        <v>02406911202</v>
      </c>
      <c r="C1518" t="s">
        <v>13</v>
      </c>
      <c r="D1518" t="s">
        <v>975</v>
      </c>
      <c r="E1518" t="s">
        <v>979</v>
      </c>
      <c r="F1518" t="s">
        <v>796</v>
      </c>
      <c r="G1518" t="str">
        <f>"03428610152"</f>
        <v>03428610152</v>
      </c>
      <c r="I1518" t="s">
        <v>201</v>
      </c>
      <c r="L1518" t="s">
        <v>41</v>
      </c>
      <c r="M1518">
        <v>61.5</v>
      </c>
      <c r="AG1518">
        <v>61.5</v>
      </c>
      <c r="AH1518" s="1">
        <v>41310</v>
      </c>
      <c r="AI1518" s="1">
        <v>41320</v>
      </c>
      <c r="AJ1518" s="1">
        <v>41310</v>
      </c>
    </row>
    <row r="1519" spans="1:36" ht="15">
      <c r="A1519" t="str">
        <f>"ZEB0123B9F"</f>
        <v>ZEB0123B9F</v>
      </c>
      <c r="B1519" t="str">
        <f t="shared" si="68"/>
        <v>02406911202</v>
      </c>
      <c r="C1519" t="s">
        <v>13</v>
      </c>
      <c r="D1519" t="s">
        <v>975</v>
      </c>
      <c r="E1519" t="s">
        <v>1074</v>
      </c>
      <c r="F1519" t="s">
        <v>796</v>
      </c>
      <c r="G1519" t="str">
        <f>"10517560156"</f>
        <v>10517560156</v>
      </c>
      <c r="I1519" t="s">
        <v>1126</v>
      </c>
      <c r="L1519" t="s">
        <v>41</v>
      </c>
      <c r="M1519">
        <v>12884.63</v>
      </c>
      <c r="AG1519">
        <v>12884.63</v>
      </c>
      <c r="AH1519" s="1">
        <v>41362</v>
      </c>
      <c r="AI1519" s="1">
        <v>41463</v>
      </c>
      <c r="AJ1519" s="1">
        <v>41362</v>
      </c>
    </row>
    <row r="1520" spans="1:36" ht="15">
      <c r="A1520" t="str">
        <f>"ZEC0A5ADFA"</f>
        <v>ZEC0A5ADFA</v>
      </c>
      <c r="B1520" t="str">
        <f t="shared" si="68"/>
        <v>02406911202</v>
      </c>
      <c r="C1520" t="s">
        <v>13</v>
      </c>
      <c r="D1520" t="s">
        <v>975</v>
      </c>
      <c r="E1520" t="s">
        <v>1140</v>
      </c>
      <c r="F1520" t="s">
        <v>796</v>
      </c>
      <c r="G1520" t="str">
        <f>"01681100150"</f>
        <v>01681100150</v>
      </c>
      <c r="I1520" t="s">
        <v>155</v>
      </c>
      <c r="L1520" t="s">
        <v>41</v>
      </c>
      <c r="M1520">
        <v>19538</v>
      </c>
      <c r="AG1520">
        <v>19538</v>
      </c>
      <c r="AH1520" s="1">
        <v>41437</v>
      </c>
      <c r="AI1520" s="1">
        <v>41631</v>
      </c>
      <c r="AJ1520" s="1">
        <v>41437</v>
      </c>
    </row>
    <row r="1521" spans="1:36" ht="15">
      <c r="A1521" t="str">
        <f>"ZF5063771E"</f>
        <v>ZF5063771E</v>
      </c>
      <c r="B1521" t="str">
        <f t="shared" si="68"/>
        <v>02406911202</v>
      </c>
      <c r="C1521" t="s">
        <v>13</v>
      </c>
      <c r="D1521" t="s">
        <v>975</v>
      </c>
      <c r="E1521" t="s">
        <v>1141</v>
      </c>
      <c r="F1521" t="s">
        <v>796</v>
      </c>
      <c r="G1521" t="str">
        <f>"03203781202"</f>
        <v>03203781202</v>
      </c>
      <c r="I1521" t="s">
        <v>1142</v>
      </c>
      <c r="L1521" t="s">
        <v>41</v>
      </c>
      <c r="M1521">
        <v>20170.03</v>
      </c>
      <c r="AG1521">
        <v>20170.03</v>
      </c>
      <c r="AH1521" s="1">
        <v>41292</v>
      </c>
      <c r="AI1521" s="1">
        <v>41614</v>
      </c>
      <c r="AJ1521" s="1">
        <v>41292</v>
      </c>
    </row>
    <row r="1522" spans="1:36" ht="15">
      <c r="A1522" t="str">
        <f>"ZF70A096F5"</f>
        <v>ZF70A096F5</v>
      </c>
      <c r="B1522" t="str">
        <f t="shared" si="68"/>
        <v>02406911202</v>
      </c>
      <c r="C1522" t="s">
        <v>13</v>
      </c>
      <c r="D1522" t="s">
        <v>975</v>
      </c>
      <c r="E1522" t="s">
        <v>979</v>
      </c>
      <c r="F1522" t="s">
        <v>796</v>
      </c>
      <c r="G1522" t="str">
        <f>"01059590107"</f>
        <v>01059590107</v>
      </c>
      <c r="I1522" t="s">
        <v>91</v>
      </c>
      <c r="L1522" t="s">
        <v>41</v>
      </c>
      <c r="M1522">
        <v>270</v>
      </c>
      <c r="AG1522">
        <v>270</v>
      </c>
      <c r="AH1522" s="1">
        <v>41417</v>
      </c>
      <c r="AI1522" s="1">
        <v>41427</v>
      </c>
      <c r="AJ1522" s="1">
        <v>41417</v>
      </c>
    </row>
    <row r="1523" spans="1:36" ht="15">
      <c r="A1523" t="str">
        <f>"ZFA05767FD"</f>
        <v>ZFA05767FD</v>
      </c>
      <c r="B1523" t="str">
        <f t="shared" si="68"/>
        <v>02406911202</v>
      </c>
      <c r="C1523" t="s">
        <v>13</v>
      </c>
      <c r="D1523" t="s">
        <v>975</v>
      </c>
      <c r="E1523" t="s">
        <v>1143</v>
      </c>
      <c r="F1523" t="s">
        <v>796</v>
      </c>
      <c r="G1523" t="str">
        <f>"03763210964"</f>
        <v>03763210964</v>
      </c>
      <c r="I1523" t="s">
        <v>1144</v>
      </c>
      <c r="L1523" t="s">
        <v>41</v>
      </c>
      <c r="M1523">
        <v>4010</v>
      </c>
      <c r="AG1523">
        <v>4010</v>
      </c>
      <c r="AH1523" s="1">
        <v>41292</v>
      </c>
      <c r="AI1523" s="1">
        <v>41302</v>
      </c>
      <c r="AJ1523" s="1">
        <v>41292</v>
      </c>
    </row>
    <row r="1524" spans="1:36" ht="15">
      <c r="A1524" t="str">
        <f>"ZFA0CAE7FC"</f>
        <v>ZFA0CAE7FC</v>
      </c>
      <c r="B1524" t="str">
        <f t="shared" si="68"/>
        <v>02406911202</v>
      </c>
      <c r="C1524" t="s">
        <v>13</v>
      </c>
      <c r="D1524" t="s">
        <v>975</v>
      </c>
      <c r="E1524" t="s">
        <v>1099</v>
      </c>
      <c r="F1524" t="s">
        <v>796</v>
      </c>
      <c r="H1524" t="str">
        <f>"DE118579535"</f>
        <v>DE118579535</v>
      </c>
      <c r="I1524" t="s">
        <v>1100</v>
      </c>
      <c r="L1524" t="s">
        <v>45</v>
      </c>
      <c r="AJ1524" s="1">
        <v>41611</v>
      </c>
    </row>
    <row r="1525" spans="1:36" ht="15">
      <c r="A1525" t="str">
        <f>"51182880E0"</f>
        <v>51182880E0</v>
      </c>
      <c r="B1525" t="str">
        <f t="shared" si="68"/>
        <v>02406911202</v>
      </c>
      <c r="C1525" t="s">
        <v>13</v>
      </c>
      <c r="D1525" t="s">
        <v>1145</v>
      </c>
      <c r="E1525" t="s">
        <v>1146</v>
      </c>
      <c r="F1525" t="s">
        <v>796</v>
      </c>
      <c r="G1525" t="str">
        <f>"05116320150"</f>
        <v>05116320150</v>
      </c>
      <c r="I1525" t="s">
        <v>1147</v>
      </c>
      <c r="L1525" t="s">
        <v>41</v>
      </c>
      <c r="M1525">
        <v>2150</v>
      </c>
      <c r="AG1525">
        <v>2150</v>
      </c>
      <c r="AH1525" s="1">
        <v>41407</v>
      </c>
      <c r="AI1525" s="1">
        <v>41417</v>
      </c>
      <c r="AJ1525" s="1">
        <v>41407</v>
      </c>
    </row>
    <row r="1526" spans="1:36" ht="15">
      <c r="A1526" t="str">
        <f>" 492262677"</f>
        <v> 492262677</v>
      </c>
      <c r="B1526" t="str">
        <f t="shared" si="68"/>
        <v>02406911202</v>
      </c>
      <c r="C1526" t="s">
        <v>13</v>
      </c>
      <c r="D1526" t="s">
        <v>1145</v>
      </c>
      <c r="E1526" t="s">
        <v>1148</v>
      </c>
      <c r="F1526" t="s">
        <v>796</v>
      </c>
      <c r="G1526" t="str">
        <f>"02352960286"</f>
        <v>02352960286</v>
      </c>
      <c r="I1526" t="s">
        <v>1149</v>
      </c>
      <c r="L1526" t="s">
        <v>41</v>
      </c>
      <c r="M1526">
        <v>2160</v>
      </c>
      <c r="AG1526">
        <v>0</v>
      </c>
      <c r="AH1526" s="1">
        <v>41323</v>
      </c>
      <c r="AI1526" s="1">
        <v>41333</v>
      </c>
      <c r="AJ1526" s="1">
        <v>41323</v>
      </c>
    </row>
    <row r="1527" spans="1:36" ht="15">
      <c r="A1527" t="str">
        <f>"4846831378"</f>
        <v>4846831378</v>
      </c>
      <c r="B1527" t="str">
        <f t="shared" si="68"/>
        <v>02406911202</v>
      </c>
      <c r="C1527" t="s">
        <v>13</v>
      </c>
      <c r="D1527" t="s">
        <v>1145</v>
      </c>
      <c r="E1527" t="s">
        <v>1150</v>
      </c>
      <c r="F1527" t="s">
        <v>796</v>
      </c>
      <c r="G1527" t="str">
        <f>"00740430335"</f>
        <v>00740430335</v>
      </c>
      <c r="I1527" t="s">
        <v>1151</v>
      </c>
      <c r="L1527" t="s">
        <v>41</v>
      </c>
      <c r="M1527">
        <v>12187</v>
      </c>
      <c r="AG1527">
        <v>12187</v>
      </c>
      <c r="AH1527" s="1">
        <v>41337</v>
      </c>
      <c r="AI1527" s="1">
        <v>41410</v>
      </c>
      <c r="AJ1527" s="1">
        <v>41337</v>
      </c>
    </row>
    <row r="1528" spans="1:36" ht="15">
      <c r="A1528" t="str">
        <f>"4900288594"</f>
        <v>4900288594</v>
      </c>
      <c r="B1528" t="str">
        <f t="shared" si="68"/>
        <v>02406911202</v>
      </c>
      <c r="C1528" t="s">
        <v>13</v>
      </c>
      <c r="D1528" t="s">
        <v>1145</v>
      </c>
      <c r="E1528" t="s">
        <v>1152</v>
      </c>
      <c r="F1528" t="s">
        <v>796</v>
      </c>
      <c r="G1528" t="str">
        <f>"01944260221"</f>
        <v>01944260221</v>
      </c>
      <c r="I1528" t="s">
        <v>238</v>
      </c>
      <c r="L1528" t="s">
        <v>41</v>
      </c>
      <c r="M1528">
        <v>16230</v>
      </c>
      <c r="AG1528">
        <v>16230</v>
      </c>
      <c r="AH1528" s="1">
        <v>41304</v>
      </c>
      <c r="AI1528" s="1">
        <v>41314</v>
      </c>
      <c r="AJ1528" s="1">
        <v>41304</v>
      </c>
    </row>
    <row r="1529" spans="1:36" ht="15">
      <c r="A1529" t="str">
        <f>"4909689388"</f>
        <v>4909689388</v>
      </c>
      <c r="B1529" t="str">
        <f t="shared" si="68"/>
        <v>02406911202</v>
      </c>
      <c r="C1529" t="s">
        <v>13</v>
      </c>
      <c r="D1529" t="s">
        <v>1145</v>
      </c>
      <c r="E1529" t="s">
        <v>1153</v>
      </c>
      <c r="F1529" t="s">
        <v>796</v>
      </c>
      <c r="G1529" t="str">
        <f>"09234221001"</f>
        <v>09234221001</v>
      </c>
      <c r="I1529" t="s">
        <v>1154</v>
      </c>
      <c r="L1529" t="s">
        <v>41</v>
      </c>
      <c r="M1529">
        <v>1510</v>
      </c>
      <c r="AG1529">
        <v>1510</v>
      </c>
      <c r="AH1529" s="1">
        <v>41309</v>
      </c>
      <c r="AI1529" s="1">
        <v>41357</v>
      </c>
      <c r="AJ1529" s="1">
        <v>41309</v>
      </c>
    </row>
    <row r="1530" spans="1:36" ht="15">
      <c r="A1530" t="str">
        <f>"4918009569"</f>
        <v>4918009569</v>
      </c>
      <c r="B1530" t="str">
        <f t="shared" si="68"/>
        <v>02406911202</v>
      </c>
      <c r="C1530" t="s">
        <v>13</v>
      </c>
      <c r="D1530" t="s">
        <v>1145</v>
      </c>
      <c r="E1530" t="s">
        <v>1152</v>
      </c>
      <c r="F1530" t="s">
        <v>796</v>
      </c>
      <c r="G1530" t="str">
        <f>"09234221001"</f>
        <v>09234221001</v>
      </c>
      <c r="I1530" t="s">
        <v>1154</v>
      </c>
      <c r="L1530" t="s">
        <v>41</v>
      </c>
      <c r="M1530">
        <v>2425</v>
      </c>
      <c r="AG1530">
        <v>2425</v>
      </c>
      <c r="AH1530" s="1">
        <v>41311</v>
      </c>
      <c r="AI1530" s="1">
        <v>41321</v>
      </c>
      <c r="AJ1530" s="1">
        <v>41311</v>
      </c>
    </row>
    <row r="1531" spans="1:36" ht="15">
      <c r="A1531" t="str">
        <f>"4920184846"</f>
        <v>4920184846</v>
      </c>
      <c r="B1531" t="str">
        <f t="shared" si="68"/>
        <v>02406911202</v>
      </c>
      <c r="C1531" t="s">
        <v>13</v>
      </c>
      <c r="D1531" t="s">
        <v>1145</v>
      </c>
      <c r="E1531" t="s">
        <v>1153</v>
      </c>
      <c r="F1531" t="s">
        <v>796</v>
      </c>
      <c r="G1531" t="str">
        <f>"01480750437"</f>
        <v>01480750437</v>
      </c>
      <c r="I1531" t="s">
        <v>1155</v>
      </c>
      <c r="L1531" t="s">
        <v>41</v>
      </c>
      <c r="M1531">
        <v>1116.83</v>
      </c>
      <c r="AG1531">
        <v>1116.84</v>
      </c>
      <c r="AH1531" s="1">
        <v>41317</v>
      </c>
      <c r="AI1531" s="1">
        <v>41351</v>
      </c>
      <c r="AJ1531" s="1">
        <v>41317</v>
      </c>
    </row>
    <row r="1532" spans="1:36" ht="15">
      <c r="A1532" t="str">
        <f>"4922451710"</f>
        <v>4922451710</v>
      </c>
      <c r="B1532" t="str">
        <f t="shared" si="68"/>
        <v>02406911202</v>
      </c>
      <c r="C1532" t="s">
        <v>13</v>
      </c>
      <c r="D1532" t="s">
        <v>1145</v>
      </c>
      <c r="E1532" t="s">
        <v>1148</v>
      </c>
      <c r="F1532" t="s">
        <v>796</v>
      </c>
      <c r="G1532" t="str">
        <f>"12811210157"</f>
        <v>12811210157</v>
      </c>
      <c r="I1532" t="s">
        <v>1156</v>
      </c>
      <c r="L1532" t="s">
        <v>41</v>
      </c>
      <c r="M1532">
        <v>1932</v>
      </c>
      <c r="AG1532">
        <v>1932</v>
      </c>
      <c r="AH1532" s="1">
        <v>41323</v>
      </c>
      <c r="AI1532" s="1">
        <v>41333</v>
      </c>
      <c r="AJ1532" s="1">
        <v>41323</v>
      </c>
    </row>
    <row r="1533" spans="1:36" ht="15">
      <c r="A1533" t="str">
        <f>"4922737315"</f>
        <v>4922737315</v>
      </c>
      <c r="B1533" t="str">
        <f t="shared" si="68"/>
        <v>02406911202</v>
      </c>
      <c r="C1533" t="s">
        <v>13</v>
      </c>
      <c r="D1533" t="s">
        <v>1145</v>
      </c>
      <c r="E1533" t="s">
        <v>1148</v>
      </c>
      <c r="F1533" t="s">
        <v>796</v>
      </c>
      <c r="G1533" t="str">
        <f>"01972451205"</f>
        <v>01972451205</v>
      </c>
      <c r="I1533" t="s">
        <v>1157</v>
      </c>
      <c r="L1533" t="s">
        <v>41</v>
      </c>
      <c r="M1533">
        <v>5700</v>
      </c>
      <c r="AG1533">
        <v>5700</v>
      </c>
      <c r="AH1533" s="1">
        <v>41325</v>
      </c>
      <c r="AI1533" s="1">
        <v>41335</v>
      </c>
      <c r="AJ1533" s="1">
        <v>41325</v>
      </c>
    </row>
    <row r="1534" spans="1:36" ht="15">
      <c r="A1534" t="str">
        <f>"4928727230"</f>
        <v>4928727230</v>
      </c>
      <c r="B1534" t="str">
        <f t="shared" si="68"/>
        <v>02406911202</v>
      </c>
      <c r="C1534" t="s">
        <v>13</v>
      </c>
      <c r="D1534" t="s">
        <v>1145</v>
      </c>
      <c r="E1534" t="s">
        <v>1158</v>
      </c>
      <c r="F1534" t="s">
        <v>796</v>
      </c>
      <c r="G1534" t="str">
        <f>"05116320150"</f>
        <v>05116320150</v>
      </c>
      <c r="I1534" t="s">
        <v>1147</v>
      </c>
      <c r="L1534" t="s">
        <v>41</v>
      </c>
      <c r="M1534">
        <v>1144.58</v>
      </c>
      <c r="AG1534">
        <v>1144.59</v>
      </c>
      <c r="AH1534" s="1">
        <v>41317</v>
      </c>
      <c r="AI1534" s="1">
        <v>41649</v>
      </c>
      <c r="AJ1534" s="1">
        <v>41317</v>
      </c>
    </row>
    <row r="1535" spans="1:36" ht="15">
      <c r="A1535" t="str">
        <f>"4931188112"</f>
        <v>4931188112</v>
      </c>
      <c r="B1535" t="str">
        <f t="shared" si="68"/>
        <v>02406911202</v>
      </c>
      <c r="C1535" t="s">
        <v>13</v>
      </c>
      <c r="D1535" t="s">
        <v>1145</v>
      </c>
      <c r="E1535" t="s">
        <v>1159</v>
      </c>
      <c r="F1535" t="s">
        <v>796</v>
      </c>
      <c r="G1535" t="str">
        <f>"01785490408"</f>
        <v>01785490408</v>
      </c>
      <c r="I1535" t="s">
        <v>147</v>
      </c>
      <c r="L1535" t="s">
        <v>41</v>
      </c>
      <c r="M1535">
        <v>1500</v>
      </c>
      <c r="AG1535">
        <v>1500</v>
      </c>
      <c r="AH1535" s="1">
        <v>41318</v>
      </c>
      <c r="AI1535" s="1">
        <v>41328</v>
      </c>
      <c r="AJ1535" s="1">
        <v>41318</v>
      </c>
    </row>
    <row r="1536" spans="1:36" ht="15">
      <c r="A1536" t="str">
        <f>"4939237350"</f>
        <v>4939237350</v>
      </c>
      <c r="B1536" t="str">
        <f t="shared" si="68"/>
        <v>02406911202</v>
      </c>
      <c r="C1536" t="s">
        <v>13</v>
      </c>
      <c r="D1536" t="s">
        <v>1145</v>
      </c>
      <c r="E1536" t="s">
        <v>1160</v>
      </c>
      <c r="F1536" t="s">
        <v>796</v>
      </c>
      <c r="G1536" t="str">
        <f>"02252270398"</f>
        <v>02252270398</v>
      </c>
      <c r="I1536" t="s">
        <v>1161</v>
      </c>
      <c r="L1536" t="s">
        <v>41</v>
      </c>
      <c r="M1536">
        <v>12100</v>
      </c>
      <c r="AG1536">
        <v>12100</v>
      </c>
      <c r="AH1536" s="1">
        <v>41320</v>
      </c>
      <c r="AI1536" s="1">
        <v>41330</v>
      </c>
      <c r="AJ1536" s="1">
        <v>41320</v>
      </c>
    </row>
    <row r="1537" spans="1:36" ht="15">
      <c r="A1537" t="str">
        <f>"4941823957"</f>
        <v>4941823957</v>
      </c>
      <c r="B1537" t="str">
        <f t="shared" si="68"/>
        <v>02406911202</v>
      </c>
      <c r="C1537" t="s">
        <v>13</v>
      </c>
      <c r="D1537" t="s">
        <v>1145</v>
      </c>
      <c r="E1537" t="s">
        <v>1148</v>
      </c>
      <c r="F1537" t="s">
        <v>796</v>
      </c>
      <c r="G1537" t="str">
        <f>"04222630370"</f>
        <v>04222630370</v>
      </c>
      <c r="I1537" t="s">
        <v>1162</v>
      </c>
      <c r="L1537" t="s">
        <v>41</v>
      </c>
      <c r="M1537">
        <v>1400</v>
      </c>
      <c r="AG1537">
        <v>1400</v>
      </c>
      <c r="AH1537" s="1">
        <v>41347</v>
      </c>
      <c r="AI1537" s="1">
        <v>41357</v>
      </c>
      <c r="AJ1537" s="1">
        <v>41347</v>
      </c>
    </row>
    <row r="1538" spans="1:36" ht="15">
      <c r="A1538" t="str">
        <f>"4962026962"</f>
        <v>4962026962</v>
      </c>
      <c r="B1538" t="str">
        <f aca="true" t="shared" si="69" ref="B1538:B1601">"02406911202"</f>
        <v>02406911202</v>
      </c>
      <c r="C1538" t="s">
        <v>13</v>
      </c>
      <c r="D1538" t="s">
        <v>1145</v>
      </c>
      <c r="E1538" t="s">
        <v>1153</v>
      </c>
      <c r="F1538" t="s">
        <v>796</v>
      </c>
      <c r="G1538" t="str">
        <f>"02006010165"</f>
        <v>02006010165</v>
      </c>
      <c r="I1538" t="s">
        <v>1163</v>
      </c>
      <c r="L1538" t="s">
        <v>41</v>
      </c>
      <c r="M1538">
        <v>1255</v>
      </c>
      <c r="AG1538">
        <v>1255</v>
      </c>
      <c r="AH1538" s="1">
        <v>41331</v>
      </c>
      <c r="AI1538" s="1">
        <v>41426</v>
      </c>
      <c r="AJ1538" s="1">
        <v>41331</v>
      </c>
    </row>
    <row r="1539" spans="1:36" ht="15">
      <c r="A1539" t="str">
        <f>"4970534669"</f>
        <v>4970534669</v>
      </c>
      <c r="B1539" t="str">
        <f t="shared" si="69"/>
        <v>02406911202</v>
      </c>
      <c r="C1539" t="s">
        <v>13</v>
      </c>
      <c r="D1539" t="s">
        <v>1145</v>
      </c>
      <c r="E1539" t="s">
        <v>1153</v>
      </c>
      <c r="F1539" t="s">
        <v>796</v>
      </c>
      <c r="G1539" t="str">
        <f>"01695550812"</f>
        <v>01695550812</v>
      </c>
      <c r="I1539" t="s">
        <v>1164</v>
      </c>
      <c r="L1539" t="s">
        <v>41</v>
      </c>
      <c r="M1539">
        <v>215.1</v>
      </c>
      <c r="AG1539">
        <v>215.1</v>
      </c>
      <c r="AH1539" s="1">
        <v>41337</v>
      </c>
      <c r="AI1539" s="1">
        <v>41347</v>
      </c>
      <c r="AJ1539" s="1">
        <v>41337</v>
      </c>
    </row>
    <row r="1540" spans="1:36" ht="15">
      <c r="A1540" t="str">
        <f>"4996630583"</f>
        <v>4996630583</v>
      </c>
      <c r="B1540" t="str">
        <f t="shared" si="69"/>
        <v>02406911202</v>
      </c>
      <c r="C1540" t="s">
        <v>13</v>
      </c>
      <c r="D1540" t="s">
        <v>1145</v>
      </c>
      <c r="E1540" t="s">
        <v>1165</v>
      </c>
      <c r="F1540" t="s">
        <v>796</v>
      </c>
      <c r="G1540" t="str">
        <f>"03551890373"</f>
        <v>03551890373</v>
      </c>
      <c r="I1540" t="s">
        <v>1166</v>
      </c>
      <c r="L1540" t="s">
        <v>41</v>
      </c>
      <c r="M1540">
        <v>1720</v>
      </c>
      <c r="AG1540">
        <v>1720</v>
      </c>
      <c r="AH1540" s="1">
        <v>41345</v>
      </c>
      <c r="AI1540" s="1">
        <v>41355</v>
      </c>
      <c r="AJ1540" s="1">
        <v>41345</v>
      </c>
    </row>
    <row r="1541" spans="1:36" ht="15">
      <c r="A1541" t="str">
        <f>"5004424553"</f>
        <v>5004424553</v>
      </c>
      <c r="B1541" t="str">
        <f t="shared" si="69"/>
        <v>02406911202</v>
      </c>
      <c r="C1541" t="s">
        <v>13</v>
      </c>
      <c r="D1541" t="s">
        <v>1145</v>
      </c>
      <c r="E1541" t="s">
        <v>1152</v>
      </c>
      <c r="F1541" t="s">
        <v>796</v>
      </c>
      <c r="G1541" t="str">
        <f>"00488410010"</f>
        <v>00488410010</v>
      </c>
      <c r="I1541" t="s">
        <v>248</v>
      </c>
      <c r="L1541" t="s">
        <v>41</v>
      </c>
      <c r="M1541">
        <v>1380</v>
      </c>
      <c r="AG1541">
        <v>1380</v>
      </c>
      <c r="AH1541" s="1">
        <v>41346</v>
      </c>
      <c r="AI1541" s="1">
        <v>41356</v>
      </c>
      <c r="AJ1541" s="1">
        <v>41346</v>
      </c>
    </row>
    <row r="1542" spans="1:36" ht="15">
      <c r="A1542" t="str">
        <f>"5021774300"</f>
        <v>5021774300</v>
      </c>
      <c r="B1542" t="str">
        <f t="shared" si="69"/>
        <v>02406911202</v>
      </c>
      <c r="C1542" t="s">
        <v>13</v>
      </c>
      <c r="D1542" t="s">
        <v>1145</v>
      </c>
      <c r="E1542" t="s">
        <v>1167</v>
      </c>
      <c r="F1542" t="s">
        <v>796</v>
      </c>
      <c r="G1542" t="str">
        <f>"02986820237"</f>
        <v>02986820237</v>
      </c>
      <c r="I1542" t="s">
        <v>250</v>
      </c>
      <c r="L1542" t="s">
        <v>41</v>
      </c>
      <c r="M1542">
        <v>1238.9</v>
      </c>
      <c r="AG1542">
        <v>1093.35</v>
      </c>
      <c r="AH1542" s="1">
        <v>41355</v>
      </c>
      <c r="AI1542" s="1">
        <v>41365</v>
      </c>
      <c r="AJ1542" s="1">
        <v>41355</v>
      </c>
    </row>
    <row r="1543" spans="1:36" ht="15">
      <c r="A1543" t="str">
        <f>"5080910392"</f>
        <v>5080910392</v>
      </c>
      <c r="B1543" t="str">
        <f t="shared" si="69"/>
        <v>02406911202</v>
      </c>
      <c r="C1543" t="s">
        <v>13</v>
      </c>
      <c r="D1543" t="s">
        <v>1145</v>
      </c>
      <c r="E1543" t="s">
        <v>1158</v>
      </c>
      <c r="F1543" t="s">
        <v>796</v>
      </c>
      <c r="G1543" t="str">
        <f>"01383490354"</f>
        <v>01383490354</v>
      </c>
      <c r="I1543" t="s">
        <v>627</v>
      </c>
      <c r="L1543" t="s">
        <v>41</v>
      </c>
      <c r="M1543">
        <v>3327</v>
      </c>
      <c r="AG1543">
        <v>3327</v>
      </c>
      <c r="AH1543" s="1">
        <v>41386</v>
      </c>
      <c r="AI1543" s="1">
        <v>41620</v>
      </c>
      <c r="AJ1543" s="1">
        <v>41386</v>
      </c>
    </row>
    <row r="1544" spans="1:36" ht="15">
      <c r="A1544" t="str">
        <f>"5095552687"</f>
        <v>5095552687</v>
      </c>
      <c r="B1544" t="str">
        <f t="shared" si="69"/>
        <v>02406911202</v>
      </c>
      <c r="C1544" t="s">
        <v>13</v>
      </c>
      <c r="D1544" t="s">
        <v>1145</v>
      </c>
      <c r="E1544" t="s">
        <v>1153</v>
      </c>
      <c r="F1544" t="s">
        <v>796</v>
      </c>
      <c r="G1544" t="str">
        <f>"00740430335"</f>
        <v>00740430335</v>
      </c>
      <c r="I1544" t="s">
        <v>1151</v>
      </c>
      <c r="L1544" t="s">
        <v>41</v>
      </c>
      <c r="M1544">
        <v>2809</v>
      </c>
      <c r="AG1544">
        <v>2809</v>
      </c>
      <c r="AH1544" s="1">
        <v>41396</v>
      </c>
      <c r="AI1544" s="1">
        <v>41617</v>
      </c>
      <c r="AJ1544" s="1">
        <v>41396</v>
      </c>
    </row>
    <row r="1545" spans="1:36" ht="15">
      <c r="A1545" t="str">
        <f>"5161165816"</f>
        <v>5161165816</v>
      </c>
      <c r="B1545" t="str">
        <f t="shared" si="69"/>
        <v>02406911202</v>
      </c>
      <c r="C1545" t="s">
        <v>13</v>
      </c>
      <c r="D1545" t="s">
        <v>1145</v>
      </c>
      <c r="E1545" t="s">
        <v>1153</v>
      </c>
      <c r="F1545" t="s">
        <v>796</v>
      </c>
      <c r="G1545" t="str">
        <f>"04654610874"</f>
        <v>04654610874</v>
      </c>
      <c r="I1545" t="s">
        <v>1168</v>
      </c>
      <c r="L1545" t="s">
        <v>41</v>
      </c>
      <c r="M1545">
        <v>130</v>
      </c>
      <c r="AG1545">
        <v>130</v>
      </c>
      <c r="AH1545" s="1">
        <v>41428</v>
      </c>
      <c r="AI1545" s="1">
        <v>41438</v>
      </c>
      <c r="AJ1545" s="1">
        <v>41428</v>
      </c>
    </row>
    <row r="1546" spans="1:36" ht="15">
      <c r="A1546" t="str">
        <f>"5177586720"</f>
        <v>5177586720</v>
      </c>
      <c r="B1546" t="str">
        <f t="shared" si="69"/>
        <v>02406911202</v>
      </c>
      <c r="C1546" t="s">
        <v>13</v>
      </c>
      <c r="D1546" t="s">
        <v>1145</v>
      </c>
      <c r="E1546" t="s">
        <v>1153</v>
      </c>
      <c r="F1546" t="s">
        <v>796</v>
      </c>
      <c r="G1546" t="str">
        <f>"01813500541"</f>
        <v>01813500541</v>
      </c>
      <c r="I1546" t="s">
        <v>1169</v>
      </c>
      <c r="L1546" t="s">
        <v>41</v>
      </c>
      <c r="M1546">
        <v>588.79</v>
      </c>
      <c r="AG1546">
        <v>588.79</v>
      </c>
      <c r="AH1546" s="1">
        <v>41439</v>
      </c>
      <c r="AI1546" s="1">
        <v>41449</v>
      </c>
      <c r="AJ1546" s="1">
        <v>41439</v>
      </c>
    </row>
    <row r="1547" spans="1:36" ht="15">
      <c r="A1547" t="str">
        <f>"5191364119"</f>
        <v>5191364119</v>
      </c>
      <c r="B1547" t="str">
        <f t="shared" si="69"/>
        <v>02406911202</v>
      </c>
      <c r="C1547" t="s">
        <v>13</v>
      </c>
      <c r="D1547" t="s">
        <v>1145</v>
      </c>
      <c r="E1547" t="s">
        <v>1170</v>
      </c>
      <c r="F1547" t="s">
        <v>796</v>
      </c>
      <c r="G1547" t="str">
        <f>"03123170650"</f>
        <v>03123170650</v>
      </c>
      <c r="I1547" t="s">
        <v>1171</v>
      </c>
      <c r="L1547" t="s">
        <v>41</v>
      </c>
      <c r="M1547">
        <v>724</v>
      </c>
      <c r="AG1547">
        <v>724</v>
      </c>
      <c r="AH1547" s="1">
        <v>41445</v>
      </c>
      <c r="AI1547" s="1">
        <v>41455</v>
      </c>
      <c r="AJ1547" s="1">
        <v>41445</v>
      </c>
    </row>
    <row r="1548" spans="1:36" ht="15">
      <c r="A1548" t="str">
        <f>"5208116149"</f>
        <v>5208116149</v>
      </c>
      <c r="B1548" t="str">
        <f t="shared" si="69"/>
        <v>02406911202</v>
      </c>
      <c r="C1548" t="s">
        <v>13</v>
      </c>
      <c r="D1548" t="s">
        <v>1145</v>
      </c>
      <c r="E1548" t="s">
        <v>1152</v>
      </c>
      <c r="F1548" t="s">
        <v>796</v>
      </c>
      <c r="G1548" t="str">
        <f>"02006010165"</f>
        <v>02006010165</v>
      </c>
      <c r="I1548" t="s">
        <v>1163</v>
      </c>
      <c r="L1548" t="s">
        <v>41</v>
      </c>
      <c r="M1548">
        <v>18822.98</v>
      </c>
      <c r="AG1548">
        <v>471.98</v>
      </c>
      <c r="AH1548" s="1">
        <v>41452</v>
      </c>
      <c r="AI1548" s="1">
        <v>41603</v>
      </c>
      <c r="AJ1548" s="1">
        <v>41452</v>
      </c>
    </row>
    <row r="1549" spans="1:36" ht="15">
      <c r="A1549" t="str">
        <f>"5297576203"</f>
        <v>5297576203</v>
      </c>
      <c r="B1549" t="str">
        <f t="shared" si="69"/>
        <v>02406911202</v>
      </c>
      <c r="C1549" t="s">
        <v>13</v>
      </c>
      <c r="D1549" t="s">
        <v>1145</v>
      </c>
      <c r="E1549" t="s">
        <v>1153</v>
      </c>
      <c r="F1549" t="s">
        <v>796</v>
      </c>
      <c r="G1549" t="str">
        <f>"04585871009"</f>
        <v>04585871009</v>
      </c>
      <c r="I1549" t="s">
        <v>1172</v>
      </c>
      <c r="L1549" t="s">
        <v>41</v>
      </c>
      <c r="M1549">
        <v>1546.46</v>
      </c>
      <c r="AG1549">
        <v>1546.46</v>
      </c>
      <c r="AH1549" s="1">
        <v>41513</v>
      </c>
      <c r="AI1549" s="1">
        <v>41559</v>
      </c>
      <c r="AJ1549" s="1">
        <v>41513</v>
      </c>
    </row>
    <row r="1550" spans="1:36" ht="15">
      <c r="A1550" t="str">
        <f>"5305351225"</f>
        <v>5305351225</v>
      </c>
      <c r="B1550" t="str">
        <f t="shared" si="69"/>
        <v>02406911202</v>
      </c>
      <c r="C1550" t="s">
        <v>13</v>
      </c>
      <c r="D1550" t="s">
        <v>1145</v>
      </c>
      <c r="E1550" t="s">
        <v>1173</v>
      </c>
      <c r="F1550" t="s">
        <v>796</v>
      </c>
      <c r="G1550" t="str">
        <f>"06582191000"</f>
        <v>06582191000</v>
      </c>
      <c r="I1550" t="s">
        <v>1174</v>
      </c>
      <c r="L1550" t="s">
        <v>41</v>
      </c>
      <c r="M1550">
        <v>3900</v>
      </c>
      <c r="AG1550">
        <v>3900</v>
      </c>
      <c r="AH1550" s="1">
        <v>41521</v>
      </c>
      <c r="AI1550" s="1">
        <v>41531</v>
      </c>
      <c r="AJ1550" s="1">
        <v>41521</v>
      </c>
    </row>
    <row r="1551" spans="1:36" ht="15">
      <c r="A1551" t="str">
        <f>"5305390254"</f>
        <v>5305390254</v>
      </c>
      <c r="B1551" t="str">
        <f t="shared" si="69"/>
        <v>02406911202</v>
      </c>
      <c r="C1551" t="s">
        <v>13</v>
      </c>
      <c r="D1551" t="s">
        <v>1145</v>
      </c>
      <c r="E1551" t="s">
        <v>1173</v>
      </c>
      <c r="F1551" t="s">
        <v>796</v>
      </c>
      <c r="G1551" t="str">
        <f>"04888840487"</f>
        <v>04888840487</v>
      </c>
      <c r="I1551" t="s">
        <v>977</v>
      </c>
      <c r="L1551" t="s">
        <v>41</v>
      </c>
      <c r="M1551">
        <v>2500</v>
      </c>
      <c r="AG1551">
        <v>2500</v>
      </c>
      <c r="AH1551" s="1">
        <v>41519</v>
      </c>
      <c r="AI1551" s="1">
        <v>41529</v>
      </c>
      <c r="AJ1551" s="1">
        <v>41519</v>
      </c>
    </row>
    <row r="1552" spans="1:36" ht="15">
      <c r="A1552" t="str">
        <f>"5319374649"</f>
        <v>5319374649</v>
      </c>
      <c r="B1552" t="str">
        <f t="shared" si="69"/>
        <v>02406911202</v>
      </c>
      <c r="C1552" t="s">
        <v>13</v>
      </c>
      <c r="D1552" t="s">
        <v>1145</v>
      </c>
      <c r="E1552" t="s">
        <v>1158</v>
      </c>
      <c r="F1552" t="s">
        <v>796</v>
      </c>
      <c r="G1552" t="str">
        <f>"03002830366"</f>
        <v>03002830366</v>
      </c>
      <c r="I1552" t="s">
        <v>1175</v>
      </c>
      <c r="L1552" t="s">
        <v>41</v>
      </c>
      <c r="M1552">
        <v>550</v>
      </c>
      <c r="AG1552">
        <v>550</v>
      </c>
      <c r="AH1552" s="1">
        <v>41528</v>
      </c>
      <c r="AI1552" s="1">
        <v>41538</v>
      </c>
      <c r="AJ1552" s="1">
        <v>41528</v>
      </c>
    </row>
    <row r="1553" spans="1:36" ht="15">
      <c r="A1553" t="str">
        <f>"5376706626"</f>
        <v>5376706626</v>
      </c>
      <c r="B1553" t="str">
        <f t="shared" si="69"/>
        <v>02406911202</v>
      </c>
      <c r="C1553" t="s">
        <v>13</v>
      </c>
      <c r="D1553" t="s">
        <v>1145</v>
      </c>
      <c r="E1553" t="s">
        <v>1153</v>
      </c>
      <c r="F1553" t="s">
        <v>796</v>
      </c>
      <c r="G1553" t="str">
        <f>"02986571202"</f>
        <v>02986571202</v>
      </c>
      <c r="I1553" t="s">
        <v>1176</v>
      </c>
      <c r="L1553" t="s">
        <v>41</v>
      </c>
      <c r="M1553">
        <v>870.5</v>
      </c>
      <c r="AG1553">
        <v>870.5</v>
      </c>
      <c r="AH1553" s="1">
        <v>41561</v>
      </c>
      <c r="AI1553" s="1">
        <v>41648</v>
      </c>
      <c r="AJ1553" s="1">
        <v>41561</v>
      </c>
    </row>
    <row r="1554" spans="1:36" ht="15">
      <c r="A1554" t="str">
        <f>"5404271183"</f>
        <v>5404271183</v>
      </c>
      <c r="B1554" t="str">
        <f t="shared" si="69"/>
        <v>02406911202</v>
      </c>
      <c r="C1554" t="s">
        <v>13</v>
      </c>
      <c r="D1554" t="s">
        <v>1145</v>
      </c>
      <c r="E1554" t="s">
        <v>1165</v>
      </c>
      <c r="F1554" t="s">
        <v>796</v>
      </c>
      <c r="G1554" t="str">
        <f>"09058160152"</f>
        <v>09058160152</v>
      </c>
      <c r="I1554" t="s">
        <v>90</v>
      </c>
      <c r="L1554" t="s">
        <v>41</v>
      </c>
      <c r="M1554">
        <v>10400</v>
      </c>
      <c r="AG1554">
        <v>10400</v>
      </c>
      <c r="AH1554" s="1">
        <v>41576</v>
      </c>
      <c r="AI1554" s="1">
        <v>41586</v>
      </c>
      <c r="AJ1554" s="1">
        <v>41576</v>
      </c>
    </row>
    <row r="1555" spans="1:36" ht="15">
      <c r="A1555" t="str">
        <f>"5409100287"</f>
        <v>5409100287</v>
      </c>
      <c r="B1555" t="str">
        <f t="shared" si="69"/>
        <v>02406911202</v>
      </c>
      <c r="C1555" t="s">
        <v>13</v>
      </c>
      <c r="D1555" t="s">
        <v>1145</v>
      </c>
      <c r="E1555" t="s">
        <v>1153</v>
      </c>
      <c r="F1555" t="s">
        <v>796</v>
      </c>
      <c r="H1555" t="str">
        <f>"GB832298909"</f>
        <v>GB832298909</v>
      </c>
      <c r="I1555" t="s">
        <v>1177</v>
      </c>
      <c r="L1555" t="s">
        <v>45</v>
      </c>
      <c r="AJ1555" s="1">
        <v>41578</v>
      </c>
    </row>
    <row r="1556" spans="1:36" ht="15">
      <c r="A1556" t="str">
        <f>"5430219679"</f>
        <v>5430219679</v>
      </c>
      <c r="B1556" t="str">
        <f t="shared" si="69"/>
        <v>02406911202</v>
      </c>
      <c r="C1556" t="s">
        <v>13</v>
      </c>
      <c r="D1556" t="s">
        <v>1145</v>
      </c>
      <c r="E1556" t="s">
        <v>1178</v>
      </c>
      <c r="F1556" t="s">
        <v>796</v>
      </c>
      <c r="G1556" t="str">
        <f>"01705000212"</f>
        <v>01705000212</v>
      </c>
      <c r="I1556" t="s">
        <v>1179</v>
      </c>
      <c r="L1556" t="s">
        <v>41</v>
      </c>
      <c r="M1556">
        <v>1217</v>
      </c>
      <c r="AG1556">
        <v>1217</v>
      </c>
      <c r="AH1556" s="1">
        <v>41590</v>
      </c>
      <c r="AI1556" s="1">
        <v>41600</v>
      </c>
      <c r="AJ1556" s="1">
        <v>41590</v>
      </c>
    </row>
    <row r="1557" spans="1:36" ht="15">
      <c r="A1557" t="str">
        <f>"5437755162"</f>
        <v>5437755162</v>
      </c>
      <c r="B1557" t="str">
        <f t="shared" si="69"/>
        <v>02406911202</v>
      </c>
      <c r="C1557" t="s">
        <v>13</v>
      </c>
      <c r="D1557" t="s">
        <v>1145</v>
      </c>
      <c r="E1557" t="s">
        <v>1180</v>
      </c>
      <c r="F1557" t="s">
        <v>796</v>
      </c>
      <c r="G1557" t="str">
        <f>"01866580812"</f>
        <v>01866580812</v>
      </c>
      <c r="I1557" t="s">
        <v>1181</v>
      </c>
      <c r="L1557" t="s">
        <v>41</v>
      </c>
      <c r="M1557">
        <v>15975</v>
      </c>
      <c r="AG1557">
        <v>15975</v>
      </c>
      <c r="AH1557" s="1">
        <v>41596</v>
      </c>
      <c r="AI1557" s="1">
        <v>41606</v>
      </c>
      <c r="AJ1557" s="1">
        <v>41596</v>
      </c>
    </row>
    <row r="1558" spans="1:36" ht="15">
      <c r="A1558" t="str">
        <f>"5437937791"</f>
        <v>5437937791</v>
      </c>
      <c r="B1558" t="str">
        <f t="shared" si="69"/>
        <v>02406911202</v>
      </c>
      <c r="C1558" t="s">
        <v>13</v>
      </c>
      <c r="D1558" t="s">
        <v>1145</v>
      </c>
      <c r="E1558" t="s">
        <v>1182</v>
      </c>
      <c r="F1558" t="s">
        <v>796</v>
      </c>
      <c r="G1558" t="str">
        <f>"01647890209"</f>
        <v>01647890209</v>
      </c>
      <c r="I1558" t="s">
        <v>246</v>
      </c>
      <c r="L1558" t="s">
        <v>41</v>
      </c>
      <c r="M1558">
        <v>19800</v>
      </c>
      <c r="AG1558">
        <v>19800</v>
      </c>
      <c r="AH1558" s="1">
        <v>41593</v>
      </c>
      <c r="AI1558" s="1">
        <v>41603</v>
      </c>
      <c r="AJ1558" s="1">
        <v>41593</v>
      </c>
    </row>
    <row r="1559" spans="1:36" ht="15">
      <c r="A1559" t="str">
        <f>"5437978966"</f>
        <v>5437978966</v>
      </c>
      <c r="B1559" t="str">
        <f t="shared" si="69"/>
        <v>02406911202</v>
      </c>
      <c r="C1559" t="s">
        <v>13</v>
      </c>
      <c r="D1559" t="s">
        <v>1145</v>
      </c>
      <c r="E1559" t="s">
        <v>1153</v>
      </c>
      <c r="F1559" t="s">
        <v>796</v>
      </c>
      <c r="G1559" t="str">
        <f>"06286880726"</f>
        <v>06286880726</v>
      </c>
      <c r="I1559" t="s">
        <v>1183</v>
      </c>
      <c r="L1559" t="s">
        <v>41</v>
      </c>
      <c r="M1559">
        <v>702</v>
      </c>
      <c r="AG1559">
        <v>702</v>
      </c>
      <c r="AH1559" s="1">
        <v>41597</v>
      </c>
      <c r="AI1559" s="1">
        <v>41627</v>
      </c>
      <c r="AJ1559" s="1">
        <v>41597</v>
      </c>
    </row>
    <row r="1560" spans="1:36" ht="15">
      <c r="A1560" t="str">
        <f>"5438025032"</f>
        <v>5438025032</v>
      </c>
      <c r="B1560" t="str">
        <f t="shared" si="69"/>
        <v>02406911202</v>
      </c>
      <c r="C1560" t="s">
        <v>13</v>
      </c>
      <c r="D1560" t="s">
        <v>1145</v>
      </c>
      <c r="E1560" t="s">
        <v>1184</v>
      </c>
      <c r="F1560" t="s">
        <v>796</v>
      </c>
      <c r="G1560" t="str">
        <f>"03593680378"</f>
        <v>03593680378</v>
      </c>
      <c r="I1560" t="s">
        <v>1185</v>
      </c>
      <c r="L1560" t="s">
        <v>41</v>
      </c>
      <c r="M1560">
        <v>984</v>
      </c>
      <c r="AG1560">
        <v>984</v>
      </c>
      <c r="AH1560" s="1">
        <v>41596</v>
      </c>
      <c r="AI1560" s="1">
        <v>41606</v>
      </c>
      <c r="AJ1560" s="1">
        <v>41596</v>
      </c>
    </row>
    <row r="1561" spans="1:36" ht="15">
      <c r="A1561" t="str">
        <f>"5480028629"</f>
        <v>5480028629</v>
      </c>
      <c r="B1561" t="str">
        <f t="shared" si="69"/>
        <v>02406911202</v>
      </c>
      <c r="C1561" t="s">
        <v>13</v>
      </c>
      <c r="D1561" t="s">
        <v>1145</v>
      </c>
      <c r="E1561" t="s">
        <v>1186</v>
      </c>
      <c r="F1561" t="s">
        <v>796</v>
      </c>
      <c r="G1561" t="str">
        <f>"03551890373"</f>
        <v>03551890373</v>
      </c>
      <c r="I1561" t="s">
        <v>1166</v>
      </c>
      <c r="L1561" t="s">
        <v>41</v>
      </c>
      <c r="M1561">
        <v>5597</v>
      </c>
      <c r="AG1561">
        <v>5597</v>
      </c>
      <c r="AH1561" s="1">
        <v>41612</v>
      </c>
      <c r="AI1561" s="1">
        <v>41622</v>
      </c>
      <c r="AJ1561" s="1">
        <v>41612</v>
      </c>
    </row>
    <row r="1562" spans="1:36" ht="15">
      <c r="A1562" t="str">
        <f>"5487865974"</f>
        <v>5487865974</v>
      </c>
      <c r="B1562" t="str">
        <f t="shared" si="69"/>
        <v>02406911202</v>
      </c>
      <c r="C1562" t="s">
        <v>13</v>
      </c>
      <c r="D1562" t="s">
        <v>1145</v>
      </c>
      <c r="E1562" t="s">
        <v>1186</v>
      </c>
      <c r="F1562" t="s">
        <v>796</v>
      </c>
      <c r="G1562" t="str">
        <f>"04148130372"</f>
        <v>04148130372</v>
      </c>
      <c r="I1562" t="s">
        <v>1187</v>
      </c>
      <c r="L1562" t="s">
        <v>41</v>
      </c>
      <c r="M1562">
        <v>1590</v>
      </c>
      <c r="AG1562">
        <v>1590</v>
      </c>
      <c r="AH1562" s="1">
        <v>41614</v>
      </c>
      <c r="AI1562" s="1">
        <v>41624</v>
      </c>
      <c r="AJ1562" s="1">
        <v>41614</v>
      </c>
    </row>
    <row r="1563" spans="1:36" ht="15">
      <c r="A1563" t="str">
        <f>"5493302038"</f>
        <v>5493302038</v>
      </c>
      <c r="B1563" t="str">
        <f t="shared" si="69"/>
        <v>02406911202</v>
      </c>
      <c r="C1563" t="s">
        <v>13</v>
      </c>
      <c r="D1563" t="s">
        <v>1145</v>
      </c>
      <c r="E1563" t="s">
        <v>1153</v>
      </c>
      <c r="F1563" t="s">
        <v>796</v>
      </c>
      <c r="G1563" t="str">
        <f>"01866580812"</f>
        <v>01866580812</v>
      </c>
      <c r="I1563" t="s">
        <v>1181</v>
      </c>
      <c r="L1563" t="s">
        <v>41</v>
      </c>
      <c r="M1563">
        <v>259.16</v>
      </c>
      <c r="AG1563">
        <v>0</v>
      </c>
      <c r="AH1563" s="1">
        <v>41617</v>
      </c>
      <c r="AI1563" s="1">
        <v>41627</v>
      </c>
      <c r="AJ1563" s="1">
        <v>41617</v>
      </c>
    </row>
    <row r="1564" spans="1:36" ht="15">
      <c r="A1564" t="str">
        <f>"5500894953"</f>
        <v>5500894953</v>
      </c>
      <c r="B1564" t="str">
        <f t="shared" si="69"/>
        <v>02406911202</v>
      </c>
      <c r="C1564" t="s">
        <v>13</v>
      </c>
      <c r="D1564" t="s">
        <v>1145</v>
      </c>
      <c r="E1564" t="s">
        <v>1188</v>
      </c>
      <c r="F1564" t="s">
        <v>796</v>
      </c>
      <c r="G1564" t="str">
        <f>"01427991003"</f>
        <v>01427991003</v>
      </c>
      <c r="I1564" t="s">
        <v>1189</v>
      </c>
      <c r="L1564" t="s">
        <v>41</v>
      </c>
      <c r="M1564">
        <v>13200</v>
      </c>
      <c r="AG1564">
        <v>13200</v>
      </c>
      <c r="AH1564" s="1">
        <v>41619</v>
      </c>
      <c r="AI1564" s="1">
        <v>41629</v>
      </c>
      <c r="AJ1564" s="1">
        <v>41619</v>
      </c>
    </row>
    <row r="1565" spans="1:36" ht="15">
      <c r="A1565" t="str">
        <f>"5540339061"</f>
        <v>5540339061</v>
      </c>
      <c r="B1565" t="str">
        <f t="shared" si="69"/>
        <v>02406911202</v>
      </c>
      <c r="C1565" t="s">
        <v>13</v>
      </c>
      <c r="D1565" t="s">
        <v>1145</v>
      </c>
      <c r="E1565" t="s">
        <v>1186</v>
      </c>
      <c r="F1565" t="s">
        <v>796</v>
      </c>
      <c r="G1565" t="str">
        <f>"04310690377"</f>
        <v>04310690377</v>
      </c>
      <c r="I1565" t="s">
        <v>243</v>
      </c>
      <c r="L1565" t="s">
        <v>41</v>
      </c>
      <c r="M1565">
        <v>14399.91</v>
      </c>
      <c r="AG1565">
        <v>14400</v>
      </c>
      <c r="AH1565" s="1">
        <v>41572</v>
      </c>
      <c r="AI1565" s="1">
        <v>41582</v>
      </c>
      <c r="AJ1565" s="1">
        <v>41572</v>
      </c>
    </row>
    <row r="1566" spans="1:36" ht="15">
      <c r="A1566" t="str">
        <f>"5540384582"</f>
        <v>5540384582</v>
      </c>
      <c r="B1566" t="str">
        <f t="shared" si="69"/>
        <v>02406911202</v>
      </c>
      <c r="C1566" t="s">
        <v>13</v>
      </c>
      <c r="D1566" t="s">
        <v>1145</v>
      </c>
      <c r="E1566" t="s">
        <v>1186</v>
      </c>
      <c r="F1566" t="s">
        <v>796</v>
      </c>
      <c r="G1566" t="str">
        <f>"03837490402"</f>
        <v>03837490402</v>
      </c>
      <c r="I1566" t="s">
        <v>1190</v>
      </c>
      <c r="L1566" t="s">
        <v>41</v>
      </c>
      <c r="M1566">
        <v>13000</v>
      </c>
      <c r="AG1566">
        <v>13000</v>
      </c>
      <c r="AH1566" s="1">
        <v>41639</v>
      </c>
      <c r="AI1566" s="1">
        <v>41649</v>
      </c>
      <c r="AJ1566" s="1">
        <v>41639</v>
      </c>
    </row>
    <row r="1567" spans="1:36" ht="15">
      <c r="A1567" t="str">
        <f>"5541142707"</f>
        <v>5541142707</v>
      </c>
      <c r="B1567" t="str">
        <f t="shared" si="69"/>
        <v>02406911202</v>
      </c>
      <c r="C1567" t="s">
        <v>13</v>
      </c>
      <c r="D1567" t="s">
        <v>1145</v>
      </c>
      <c r="E1567" t="s">
        <v>1153</v>
      </c>
      <c r="F1567" t="s">
        <v>796</v>
      </c>
      <c r="G1567" t="str">
        <f>"02030330423"</f>
        <v>02030330423</v>
      </c>
      <c r="I1567" t="s">
        <v>1191</v>
      </c>
      <c r="L1567" t="s">
        <v>41</v>
      </c>
      <c r="M1567">
        <v>7260</v>
      </c>
      <c r="AG1567">
        <v>0</v>
      </c>
      <c r="AH1567" s="1">
        <v>41639</v>
      </c>
      <c r="AI1567" s="1">
        <v>41649</v>
      </c>
      <c r="AJ1567" s="1">
        <v>41639</v>
      </c>
    </row>
    <row r="1568" spans="1:36" ht="15">
      <c r="A1568" t="str">
        <f>"5541465195"</f>
        <v>5541465195</v>
      </c>
      <c r="B1568" t="str">
        <f t="shared" si="69"/>
        <v>02406911202</v>
      </c>
      <c r="C1568" t="s">
        <v>13</v>
      </c>
      <c r="D1568" t="s">
        <v>1145</v>
      </c>
      <c r="E1568" t="s">
        <v>1178</v>
      </c>
      <c r="F1568" t="s">
        <v>796</v>
      </c>
      <c r="G1568" t="str">
        <f>"06467211006"</f>
        <v>06467211006</v>
      </c>
      <c r="I1568" t="s">
        <v>1192</v>
      </c>
      <c r="L1568" t="s">
        <v>41</v>
      </c>
      <c r="M1568">
        <v>1895</v>
      </c>
      <c r="AG1568">
        <v>1895</v>
      </c>
      <c r="AH1568" s="1">
        <v>41639</v>
      </c>
      <c r="AI1568" s="1">
        <v>41649</v>
      </c>
      <c r="AJ1568" s="1">
        <v>41639</v>
      </c>
    </row>
    <row r="1569" spans="1:36" ht="15">
      <c r="A1569" t="str">
        <f>"52373562E5"</f>
        <v>52373562E5</v>
      </c>
      <c r="B1569" t="str">
        <f t="shared" si="69"/>
        <v>02406911202</v>
      </c>
      <c r="C1569" t="s">
        <v>13</v>
      </c>
      <c r="D1569" t="s">
        <v>1145</v>
      </c>
      <c r="E1569" t="s">
        <v>1178</v>
      </c>
      <c r="F1569" t="s">
        <v>796</v>
      </c>
      <c r="G1569" t="str">
        <f>"04148130372"</f>
        <v>04148130372</v>
      </c>
      <c r="I1569" t="s">
        <v>1187</v>
      </c>
      <c r="L1569" t="s">
        <v>41</v>
      </c>
      <c r="M1569">
        <v>3763</v>
      </c>
      <c r="AG1569">
        <v>3763</v>
      </c>
      <c r="AH1569" s="1">
        <v>41466</v>
      </c>
      <c r="AI1569" s="1">
        <v>41476</v>
      </c>
      <c r="AJ1569" s="1">
        <v>41466</v>
      </c>
    </row>
    <row r="1570" spans="1:36" ht="15">
      <c r="A1570" t="str">
        <f>"53990225E5"</f>
        <v>53990225E5</v>
      </c>
      <c r="B1570" t="str">
        <f t="shared" si="69"/>
        <v>02406911202</v>
      </c>
      <c r="C1570" t="s">
        <v>13</v>
      </c>
      <c r="D1570" t="s">
        <v>1145</v>
      </c>
      <c r="E1570" t="s">
        <v>1180</v>
      </c>
      <c r="F1570" t="s">
        <v>796</v>
      </c>
      <c r="G1570" t="str">
        <f>"01383490354"</f>
        <v>01383490354</v>
      </c>
      <c r="I1570" t="s">
        <v>627</v>
      </c>
      <c r="L1570" t="s">
        <v>41</v>
      </c>
      <c r="M1570">
        <v>9860</v>
      </c>
      <c r="AG1570">
        <v>9860</v>
      </c>
      <c r="AH1570" s="1">
        <v>41572</v>
      </c>
      <c r="AI1570" s="1">
        <v>41582</v>
      </c>
      <c r="AJ1570" s="1">
        <v>41572</v>
      </c>
    </row>
    <row r="1571" spans="1:36" ht="15">
      <c r="A1571" t="str">
        <f>"49418374E6"</f>
        <v>49418374E6</v>
      </c>
      <c r="B1571" t="str">
        <f t="shared" si="69"/>
        <v>02406911202</v>
      </c>
      <c r="C1571" t="s">
        <v>13</v>
      </c>
      <c r="D1571" t="s">
        <v>1145</v>
      </c>
      <c r="E1571" t="s">
        <v>1148</v>
      </c>
      <c r="F1571" t="s">
        <v>796</v>
      </c>
      <c r="G1571" t="str">
        <f>"01915340366"</f>
        <v>01915340366</v>
      </c>
      <c r="I1571" t="s">
        <v>1193</v>
      </c>
      <c r="L1571" t="s">
        <v>41</v>
      </c>
      <c r="M1571">
        <v>1146</v>
      </c>
      <c r="AG1571">
        <v>1146</v>
      </c>
      <c r="AH1571" s="1">
        <v>41325</v>
      </c>
      <c r="AI1571" s="1">
        <v>41335</v>
      </c>
      <c r="AJ1571" s="1">
        <v>41325</v>
      </c>
    </row>
    <row r="1572" spans="1:36" ht="15">
      <c r="A1572" t="str">
        <f>"54628538E6"</f>
        <v>54628538E6</v>
      </c>
      <c r="B1572" t="str">
        <f t="shared" si="69"/>
        <v>02406911202</v>
      </c>
      <c r="C1572" t="s">
        <v>13</v>
      </c>
      <c r="D1572" t="s">
        <v>1145</v>
      </c>
      <c r="E1572" t="s">
        <v>1153</v>
      </c>
      <c r="F1572" t="s">
        <v>796</v>
      </c>
      <c r="G1572" t="str">
        <f>"06012171002"</f>
        <v>06012171002</v>
      </c>
      <c r="I1572" t="s">
        <v>1194</v>
      </c>
      <c r="L1572" t="s">
        <v>41</v>
      </c>
      <c r="M1572">
        <v>1939.11</v>
      </c>
      <c r="AG1572">
        <v>1939.11</v>
      </c>
      <c r="AH1572" s="1">
        <v>41605</v>
      </c>
      <c r="AI1572" s="1">
        <v>41649</v>
      </c>
      <c r="AJ1572" s="1">
        <v>41605</v>
      </c>
    </row>
    <row r="1573" spans="1:36" ht="15">
      <c r="A1573" t="str">
        <f>"5147135E28"</f>
        <v>5147135E28</v>
      </c>
      <c r="B1573" t="str">
        <f t="shared" si="69"/>
        <v>02406911202</v>
      </c>
      <c r="C1573" t="s">
        <v>13</v>
      </c>
      <c r="D1573" t="s">
        <v>1145</v>
      </c>
      <c r="E1573" t="s">
        <v>1195</v>
      </c>
      <c r="F1573" t="s">
        <v>796</v>
      </c>
      <c r="G1573" t="str">
        <f>"01486330309"</f>
        <v>01486330309</v>
      </c>
      <c r="I1573" t="s">
        <v>1196</v>
      </c>
      <c r="L1573" t="s">
        <v>41</v>
      </c>
      <c r="M1573">
        <v>953.2</v>
      </c>
      <c r="AG1573">
        <v>953.2</v>
      </c>
      <c r="AH1573" s="1">
        <v>41421</v>
      </c>
      <c r="AI1573" s="1">
        <v>41508</v>
      </c>
      <c r="AJ1573" s="1">
        <v>41421</v>
      </c>
    </row>
    <row r="1574" spans="1:36" ht="15">
      <c r="A1574" t="str">
        <f>"4929653E55"</f>
        <v>4929653E55</v>
      </c>
      <c r="B1574" t="str">
        <f t="shared" si="69"/>
        <v>02406911202</v>
      </c>
      <c r="C1574" t="s">
        <v>13</v>
      </c>
      <c r="D1574" t="s">
        <v>1145</v>
      </c>
      <c r="E1574" t="s">
        <v>1153</v>
      </c>
      <c r="F1574" t="s">
        <v>796</v>
      </c>
      <c r="G1574" t="str">
        <f>"01248620112"</f>
        <v>01248620112</v>
      </c>
      <c r="I1574" t="s">
        <v>1197</v>
      </c>
      <c r="L1574" t="s">
        <v>41</v>
      </c>
      <c r="M1574">
        <v>937</v>
      </c>
      <c r="AG1574">
        <v>937</v>
      </c>
      <c r="AH1574" s="1">
        <v>41317</v>
      </c>
      <c r="AI1574" s="1">
        <v>41327</v>
      </c>
      <c r="AJ1574" s="1">
        <v>41317</v>
      </c>
    </row>
    <row r="1575" spans="1:36" ht="15">
      <c r="A1575" t="str">
        <f>"5437732E63"</f>
        <v>5437732E63</v>
      </c>
      <c r="B1575" t="str">
        <f t="shared" si="69"/>
        <v>02406911202</v>
      </c>
      <c r="C1575" t="s">
        <v>13</v>
      </c>
      <c r="D1575" t="s">
        <v>1145</v>
      </c>
      <c r="E1575" t="s">
        <v>1180</v>
      </c>
      <c r="F1575" t="s">
        <v>796</v>
      </c>
      <c r="G1575" t="str">
        <f>"12435450155"</f>
        <v>12435450155</v>
      </c>
      <c r="I1575" t="s">
        <v>1198</v>
      </c>
      <c r="L1575" t="s">
        <v>41</v>
      </c>
      <c r="M1575">
        <v>6380</v>
      </c>
      <c r="AG1575">
        <v>0</v>
      </c>
      <c r="AH1575" s="1">
        <v>41597</v>
      </c>
      <c r="AI1575" s="1">
        <v>41607</v>
      </c>
      <c r="AJ1575" s="1">
        <v>41597</v>
      </c>
    </row>
    <row r="1576" spans="1:36" ht="15">
      <c r="A1576" t="str">
        <f>"4922615E64"</f>
        <v>4922615E64</v>
      </c>
      <c r="B1576" t="str">
        <f t="shared" si="69"/>
        <v>02406911202</v>
      </c>
      <c r="C1576" t="s">
        <v>13</v>
      </c>
      <c r="D1576" t="s">
        <v>1145</v>
      </c>
      <c r="E1576" t="s">
        <v>1148</v>
      </c>
      <c r="F1576" t="s">
        <v>796</v>
      </c>
      <c r="G1576" t="str">
        <f>"11281120151"</f>
        <v>11281120151</v>
      </c>
      <c r="I1576" t="s">
        <v>1199</v>
      </c>
      <c r="L1576" t="s">
        <v>41</v>
      </c>
      <c r="M1576">
        <v>8700</v>
      </c>
      <c r="AG1576">
        <v>8700</v>
      </c>
      <c r="AH1576" s="1">
        <v>41323</v>
      </c>
      <c r="AI1576" s="1">
        <v>41333</v>
      </c>
      <c r="AJ1576" s="1">
        <v>41323</v>
      </c>
    </row>
    <row r="1577" spans="1:36" ht="15">
      <c r="A1577" t="str">
        <f>"5157644E75"</f>
        <v>5157644E75</v>
      </c>
      <c r="B1577" t="str">
        <f t="shared" si="69"/>
        <v>02406911202</v>
      </c>
      <c r="C1577" t="s">
        <v>13</v>
      </c>
      <c r="D1577" t="s">
        <v>1145</v>
      </c>
      <c r="E1577" t="s">
        <v>1146</v>
      </c>
      <c r="F1577" t="s">
        <v>796</v>
      </c>
      <c r="G1577" t="str">
        <f>"04888840487"</f>
        <v>04888840487</v>
      </c>
      <c r="I1577" t="s">
        <v>977</v>
      </c>
      <c r="L1577" t="s">
        <v>41</v>
      </c>
      <c r="M1577">
        <v>566</v>
      </c>
      <c r="AG1577">
        <v>566</v>
      </c>
      <c r="AH1577" s="1">
        <v>41425</v>
      </c>
      <c r="AI1577" s="1">
        <v>41435</v>
      </c>
      <c r="AJ1577" s="1">
        <v>41425</v>
      </c>
    </row>
    <row r="1578" spans="1:36" ht="15">
      <c r="A1578" t="str">
        <f>"4830092DFF"</f>
        <v>4830092DFF</v>
      </c>
      <c r="B1578" t="str">
        <f t="shared" si="69"/>
        <v>02406911202</v>
      </c>
      <c r="C1578" t="s">
        <v>13</v>
      </c>
      <c r="D1578" t="s">
        <v>1145</v>
      </c>
      <c r="E1578" t="s">
        <v>1200</v>
      </c>
      <c r="F1578" t="s">
        <v>796</v>
      </c>
      <c r="G1578" t="str">
        <f>"05688870483"</f>
        <v>05688870483</v>
      </c>
      <c r="I1578" t="s">
        <v>375</v>
      </c>
      <c r="L1578" t="s">
        <v>41</v>
      </c>
      <c r="M1578">
        <v>7500</v>
      </c>
      <c r="AG1578">
        <v>7500</v>
      </c>
      <c r="AH1578" s="1">
        <v>41277</v>
      </c>
      <c r="AI1578" s="1">
        <v>41287</v>
      </c>
      <c r="AJ1578" s="1">
        <v>41277</v>
      </c>
    </row>
    <row r="1579" spans="1:36" ht="15">
      <c r="A1579" t="str">
        <f>"489430081F"</f>
        <v>489430081F</v>
      </c>
      <c r="B1579" t="str">
        <f t="shared" si="69"/>
        <v>02406911202</v>
      </c>
      <c r="C1579" t="s">
        <v>13</v>
      </c>
      <c r="D1579" t="s">
        <v>1145</v>
      </c>
      <c r="E1579" t="s">
        <v>1200</v>
      </c>
      <c r="F1579" t="s">
        <v>796</v>
      </c>
      <c r="G1579" t="str">
        <f>"05994810488"</f>
        <v>05994810488</v>
      </c>
      <c r="I1579" t="s">
        <v>231</v>
      </c>
      <c r="L1579" t="s">
        <v>41</v>
      </c>
      <c r="M1579">
        <v>13248</v>
      </c>
      <c r="AG1579">
        <v>13248</v>
      </c>
      <c r="AH1579" s="1">
        <v>41302</v>
      </c>
      <c r="AI1579" s="1">
        <v>41312</v>
      </c>
      <c r="AJ1579" s="1">
        <v>41302</v>
      </c>
    </row>
    <row r="1580" spans="1:36" ht="15">
      <c r="A1580" t="str">
        <f>"48943945B2"</f>
        <v>48943945B2</v>
      </c>
      <c r="B1580" t="str">
        <f t="shared" si="69"/>
        <v>02406911202</v>
      </c>
      <c r="C1580" t="s">
        <v>13</v>
      </c>
      <c r="D1580" t="s">
        <v>1145</v>
      </c>
      <c r="E1580" t="s">
        <v>1200</v>
      </c>
      <c r="F1580" t="s">
        <v>796</v>
      </c>
      <c r="G1580" t="str">
        <f>"06083270154"</f>
        <v>06083270154</v>
      </c>
      <c r="I1580" t="s">
        <v>1201</v>
      </c>
      <c r="L1580" t="s">
        <v>41</v>
      </c>
      <c r="M1580">
        <v>3950</v>
      </c>
      <c r="AG1580">
        <v>3950</v>
      </c>
      <c r="AH1580" s="1">
        <v>41302</v>
      </c>
      <c r="AI1580" s="1">
        <v>41312</v>
      </c>
      <c r="AJ1580" s="1">
        <v>41302</v>
      </c>
    </row>
    <row r="1581" spans="1:36" ht="15">
      <c r="A1581" t="str">
        <f>"489455066E"</f>
        <v>489455066E</v>
      </c>
      <c r="B1581" t="str">
        <f t="shared" si="69"/>
        <v>02406911202</v>
      </c>
      <c r="C1581" t="s">
        <v>13</v>
      </c>
      <c r="D1581" t="s">
        <v>1145</v>
      </c>
      <c r="E1581" t="s">
        <v>1200</v>
      </c>
      <c r="F1581" t="s">
        <v>796</v>
      </c>
      <c r="G1581" t="str">
        <f>"05724831002"</f>
        <v>05724831002</v>
      </c>
      <c r="I1581" t="s">
        <v>1202</v>
      </c>
      <c r="L1581" t="s">
        <v>41</v>
      </c>
      <c r="M1581">
        <v>13590</v>
      </c>
      <c r="AG1581">
        <v>13590</v>
      </c>
      <c r="AH1581" s="1">
        <v>41302</v>
      </c>
      <c r="AI1581" s="1">
        <v>41312</v>
      </c>
      <c r="AJ1581" s="1">
        <v>41302</v>
      </c>
    </row>
    <row r="1582" spans="1:36" ht="15">
      <c r="A1582" t="str">
        <f>"4903615F18"</f>
        <v>4903615F18</v>
      </c>
      <c r="B1582" t="str">
        <f t="shared" si="69"/>
        <v>02406911202</v>
      </c>
      <c r="C1582" t="s">
        <v>13</v>
      </c>
      <c r="D1582" t="s">
        <v>1145</v>
      </c>
      <c r="E1582" t="s">
        <v>1152</v>
      </c>
      <c r="F1582" t="s">
        <v>796</v>
      </c>
      <c r="G1582" t="str">
        <f>"02969631205"</f>
        <v>02969631205</v>
      </c>
      <c r="I1582" t="s">
        <v>1203</v>
      </c>
      <c r="L1582" t="s">
        <v>41</v>
      </c>
      <c r="M1582">
        <v>1675</v>
      </c>
      <c r="AG1582">
        <v>1675</v>
      </c>
      <c r="AH1582" s="1">
        <v>41305</v>
      </c>
      <c r="AI1582" s="1">
        <v>41315</v>
      </c>
      <c r="AJ1582" s="1">
        <v>41305</v>
      </c>
    </row>
    <row r="1583" spans="1:36" ht="15">
      <c r="A1583" t="str">
        <f>"49097104DC"</f>
        <v>49097104DC</v>
      </c>
      <c r="B1583" t="str">
        <f t="shared" si="69"/>
        <v>02406911202</v>
      </c>
      <c r="C1583" t="s">
        <v>13</v>
      </c>
      <c r="D1583" t="s">
        <v>1145</v>
      </c>
      <c r="E1583" t="s">
        <v>1153</v>
      </c>
      <c r="F1583" t="s">
        <v>796</v>
      </c>
      <c r="G1583" t="str">
        <f>"01383490354"</f>
        <v>01383490354</v>
      </c>
      <c r="I1583" t="s">
        <v>627</v>
      </c>
      <c r="L1583" t="s">
        <v>41</v>
      </c>
      <c r="M1583">
        <v>1323.2</v>
      </c>
      <c r="AG1583">
        <v>1323.2</v>
      </c>
      <c r="AH1583" s="1">
        <v>41309</v>
      </c>
      <c r="AI1583" s="1">
        <v>41327</v>
      </c>
      <c r="AJ1583" s="1">
        <v>41309</v>
      </c>
    </row>
    <row r="1584" spans="1:36" ht="15">
      <c r="A1584" t="str">
        <f>"490982970F"</f>
        <v>490982970F</v>
      </c>
      <c r="B1584" t="str">
        <f t="shared" si="69"/>
        <v>02406911202</v>
      </c>
      <c r="C1584" t="s">
        <v>13</v>
      </c>
      <c r="D1584" t="s">
        <v>1145</v>
      </c>
      <c r="E1584" t="s">
        <v>1204</v>
      </c>
      <c r="F1584" t="s">
        <v>796</v>
      </c>
      <c r="G1584" t="str">
        <f>"04641681004"</f>
        <v>04641681004</v>
      </c>
      <c r="I1584" t="s">
        <v>1205</v>
      </c>
      <c r="L1584" t="s">
        <v>41</v>
      </c>
      <c r="M1584">
        <v>3388.25</v>
      </c>
      <c r="AG1584">
        <v>3388.25</v>
      </c>
      <c r="AH1584" s="1">
        <v>41309</v>
      </c>
      <c r="AI1584" s="1">
        <v>41350</v>
      </c>
      <c r="AJ1584" s="1">
        <v>41309</v>
      </c>
    </row>
    <row r="1585" spans="1:36" ht="15">
      <c r="A1585" t="str">
        <f>"4917918A4F"</f>
        <v>4917918A4F</v>
      </c>
      <c r="B1585" t="str">
        <f t="shared" si="69"/>
        <v>02406911202</v>
      </c>
      <c r="C1585" t="s">
        <v>13</v>
      </c>
      <c r="D1585" t="s">
        <v>1145</v>
      </c>
      <c r="E1585" t="s">
        <v>1153</v>
      </c>
      <c r="F1585" t="s">
        <v>796</v>
      </c>
      <c r="G1585" t="str">
        <f>"11215080158"</f>
        <v>11215080158</v>
      </c>
      <c r="I1585" t="s">
        <v>1206</v>
      </c>
      <c r="L1585" t="s">
        <v>41</v>
      </c>
      <c r="M1585">
        <v>308.7</v>
      </c>
      <c r="AG1585">
        <v>308.7</v>
      </c>
      <c r="AH1585" s="1">
        <v>41311</v>
      </c>
      <c r="AI1585" s="1">
        <v>41321</v>
      </c>
      <c r="AJ1585" s="1">
        <v>41311</v>
      </c>
    </row>
    <row r="1586" spans="1:36" ht="15">
      <c r="A1586" t="str">
        <f>"49180295EA"</f>
        <v>49180295EA</v>
      </c>
      <c r="B1586" t="str">
        <f t="shared" si="69"/>
        <v>02406911202</v>
      </c>
      <c r="C1586" t="s">
        <v>13</v>
      </c>
      <c r="D1586" t="s">
        <v>1145</v>
      </c>
      <c r="E1586" t="s">
        <v>1153</v>
      </c>
      <c r="F1586" t="s">
        <v>796</v>
      </c>
      <c r="G1586" t="str">
        <f>"06810761004"</f>
        <v>06810761004</v>
      </c>
      <c r="I1586" t="s">
        <v>1207</v>
      </c>
      <c r="L1586" t="s">
        <v>41</v>
      </c>
      <c r="M1586">
        <v>1501.71</v>
      </c>
      <c r="AG1586">
        <v>1501.72</v>
      </c>
      <c r="AH1586" s="1">
        <v>41311</v>
      </c>
      <c r="AI1586" s="1">
        <v>41627</v>
      </c>
      <c r="AJ1586" s="1">
        <v>41311</v>
      </c>
    </row>
    <row r="1587" spans="1:36" ht="15">
      <c r="A1587" t="str">
        <f>"49181623AC"</f>
        <v>49181623AC</v>
      </c>
      <c r="B1587" t="str">
        <f t="shared" si="69"/>
        <v>02406911202</v>
      </c>
      <c r="C1587" t="s">
        <v>13</v>
      </c>
      <c r="D1587" t="s">
        <v>1145</v>
      </c>
      <c r="E1587" t="s">
        <v>1178</v>
      </c>
      <c r="F1587" t="s">
        <v>796</v>
      </c>
      <c r="G1587" t="str">
        <f>"02006010165"</f>
        <v>02006010165</v>
      </c>
      <c r="I1587" t="s">
        <v>1163</v>
      </c>
      <c r="L1587" t="s">
        <v>41</v>
      </c>
      <c r="M1587">
        <v>2032.05</v>
      </c>
      <c r="AG1587">
        <v>2035.05</v>
      </c>
      <c r="AH1587" s="1">
        <v>41311</v>
      </c>
      <c r="AI1587" s="1">
        <v>41321</v>
      </c>
      <c r="AJ1587" s="1">
        <v>41311</v>
      </c>
    </row>
    <row r="1588" spans="1:36" ht="15">
      <c r="A1588" t="str">
        <f>"4920076F24"</f>
        <v>4920076F24</v>
      </c>
      <c r="B1588" t="str">
        <f t="shared" si="69"/>
        <v>02406911202</v>
      </c>
      <c r="C1588" t="s">
        <v>13</v>
      </c>
      <c r="D1588" t="s">
        <v>1145</v>
      </c>
      <c r="E1588" t="s">
        <v>1195</v>
      </c>
      <c r="F1588" t="s">
        <v>796</v>
      </c>
      <c r="G1588" t="str">
        <f>"08376630151"</f>
        <v>08376630151</v>
      </c>
      <c r="I1588" t="s">
        <v>1208</v>
      </c>
      <c r="L1588" t="s">
        <v>41</v>
      </c>
      <c r="M1588">
        <v>1464.6</v>
      </c>
      <c r="AG1588">
        <v>1464.6</v>
      </c>
      <c r="AH1588" s="1">
        <v>41317</v>
      </c>
      <c r="AI1588" s="1">
        <v>41335</v>
      </c>
      <c r="AJ1588" s="1">
        <v>41317</v>
      </c>
    </row>
    <row r="1589" spans="1:36" ht="15">
      <c r="A1589" t="str">
        <f>"4920094DFF"</f>
        <v>4920094DFF</v>
      </c>
      <c r="B1589" t="str">
        <f t="shared" si="69"/>
        <v>02406911202</v>
      </c>
      <c r="C1589" t="s">
        <v>13</v>
      </c>
      <c r="D1589" t="s">
        <v>1145</v>
      </c>
      <c r="E1589" t="s">
        <v>1195</v>
      </c>
      <c r="F1589" t="s">
        <v>796</v>
      </c>
      <c r="G1589" t="str">
        <f>"01021490501"</f>
        <v>01021490501</v>
      </c>
      <c r="I1589" t="s">
        <v>1209</v>
      </c>
      <c r="L1589" t="s">
        <v>41</v>
      </c>
      <c r="M1589">
        <v>699</v>
      </c>
      <c r="AG1589">
        <v>699</v>
      </c>
      <c r="AH1589" s="1">
        <v>41317</v>
      </c>
      <c r="AI1589" s="1">
        <v>41327</v>
      </c>
      <c r="AJ1589" s="1">
        <v>41317</v>
      </c>
    </row>
    <row r="1590" spans="1:36" ht="15">
      <c r="A1590" t="str">
        <f>"4920131C88"</f>
        <v>4920131C88</v>
      </c>
      <c r="B1590" t="str">
        <f t="shared" si="69"/>
        <v>02406911202</v>
      </c>
      <c r="C1590" t="s">
        <v>13</v>
      </c>
      <c r="D1590" t="s">
        <v>1145</v>
      </c>
      <c r="E1590" t="s">
        <v>1195</v>
      </c>
      <c r="F1590" t="s">
        <v>796</v>
      </c>
      <c r="G1590" t="str">
        <f>"01121130197"</f>
        <v>01121130197</v>
      </c>
      <c r="I1590" t="s">
        <v>1210</v>
      </c>
      <c r="L1590" t="s">
        <v>41</v>
      </c>
      <c r="M1590">
        <v>384.65</v>
      </c>
      <c r="AG1590">
        <v>384.65</v>
      </c>
      <c r="AH1590" s="1">
        <v>41316</v>
      </c>
      <c r="AI1590" s="1">
        <v>41326</v>
      </c>
      <c r="AJ1590" s="1">
        <v>41316</v>
      </c>
    </row>
    <row r="1591" spans="1:36" ht="15">
      <c r="A1591" t="str">
        <f>"4920152DDC"</f>
        <v>4920152DDC</v>
      </c>
      <c r="B1591" t="str">
        <f t="shared" si="69"/>
        <v>02406911202</v>
      </c>
      <c r="C1591" t="s">
        <v>13</v>
      </c>
      <c r="D1591" t="s">
        <v>1145</v>
      </c>
      <c r="E1591" t="s">
        <v>1153</v>
      </c>
      <c r="F1591" t="s">
        <v>796</v>
      </c>
      <c r="G1591" t="str">
        <f>"00990740490"</f>
        <v>00990740490</v>
      </c>
      <c r="I1591" t="s">
        <v>1211</v>
      </c>
      <c r="L1591" t="s">
        <v>41</v>
      </c>
      <c r="M1591">
        <v>285.55</v>
      </c>
      <c r="AG1591">
        <v>285.55</v>
      </c>
      <c r="AH1591" s="1">
        <v>41316</v>
      </c>
      <c r="AI1591" s="1">
        <v>41326</v>
      </c>
      <c r="AJ1591" s="1">
        <v>41316</v>
      </c>
    </row>
    <row r="1592" spans="1:36" ht="15">
      <c r="A1592" t="str">
        <f>"4920170CB7"</f>
        <v>4920170CB7</v>
      </c>
      <c r="B1592" t="str">
        <f t="shared" si="69"/>
        <v>02406911202</v>
      </c>
      <c r="C1592" t="s">
        <v>13</v>
      </c>
      <c r="D1592" t="s">
        <v>1145</v>
      </c>
      <c r="E1592" t="s">
        <v>1153</v>
      </c>
      <c r="F1592" t="s">
        <v>796</v>
      </c>
      <c r="G1592" t="str">
        <f>"04427081007"</f>
        <v>04427081007</v>
      </c>
      <c r="I1592" t="s">
        <v>1212</v>
      </c>
      <c r="L1592" t="s">
        <v>41</v>
      </c>
      <c r="M1592">
        <v>802.5</v>
      </c>
      <c r="AG1592">
        <v>802.5</v>
      </c>
      <c r="AH1592" s="1">
        <v>41316</v>
      </c>
      <c r="AI1592" s="1">
        <v>41601</v>
      </c>
      <c r="AJ1592" s="1">
        <v>41316</v>
      </c>
    </row>
    <row r="1593" spans="1:36" ht="15">
      <c r="A1593" t="str">
        <f>"49224820A7"</f>
        <v>49224820A7</v>
      </c>
      <c r="B1593" t="str">
        <f t="shared" si="69"/>
        <v>02406911202</v>
      </c>
      <c r="C1593" t="s">
        <v>13</v>
      </c>
      <c r="D1593" t="s">
        <v>1145</v>
      </c>
      <c r="E1593" t="s">
        <v>1148</v>
      </c>
      <c r="F1593" t="s">
        <v>796</v>
      </c>
      <c r="G1593" t="str">
        <f>"01003500293"</f>
        <v>01003500293</v>
      </c>
      <c r="I1593" t="s">
        <v>1213</v>
      </c>
      <c r="L1593" t="s">
        <v>41</v>
      </c>
      <c r="M1593">
        <v>12558.01</v>
      </c>
      <c r="AG1593">
        <v>12558</v>
      </c>
      <c r="AH1593" s="1">
        <v>41323</v>
      </c>
      <c r="AI1593" s="1">
        <v>41333</v>
      </c>
      <c r="AJ1593" s="1">
        <v>41323</v>
      </c>
    </row>
    <row r="1594" spans="1:36" ht="15">
      <c r="A1594" t="str">
        <f>"4922536D33"</f>
        <v>4922536D33</v>
      </c>
      <c r="B1594" t="str">
        <f t="shared" si="69"/>
        <v>02406911202</v>
      </c>
      <c r="C1594" t="s">
        <v>13</v>
      </c>
      <c r="D1594" t="s">
        <v>1145</v>
      </c>
      <c r="E1594" t="s">
        <v>1148</v>
      </c>
      <c r="F1594" t="s">
        <v>796</v>
      </c>
      <c r="G1594" t="str">
        <f>"02107990281"</f>
        <v>02107990281</v>
      </c>
      <c r="I1594" t="s">
        <v>1214</v>
      </c>
      <c r="L1594" t="s">
        <v>41</v>
      </c>
      <c r="M1594">
        <v>836</v>
      </c>
      <c r="AG1594">
        <v>456</v>
      </c>
      <c r="AH1594" s="1">
        <v>41323</v>
      </c>
      <c r="AI1594" s="1">
        <v>41333</v>
      </c>
      <c r="AJ1594" s="1">
        <v>41323</v>
      </c>
    </row>
    <row r="1595" spans="1:36" ht="15">
      <c r="A1595" t="str">
        <f>"492254871C"</f>
        <v>492254871C</v>
      </c>
      <c r="B1595" t="str">
        <f t="shared" si="69"/>
        <v>02406911202</v>
      </c>
      <c r="C1595" t="s">
        <v>13</v>
      </c>
      <c r="D1595" t="s">
        <v>1145</v>
      </c>
      <c r="E1595" t="s">
        <v>1148</v>
      </c>
      <c r="F1595" t="s">
        <v>796</v>
      </c>
      <c r="G1595" t="str">
        <f>"02047791203"</f>
        <v>02047791203</v>
      </c>
      <c r="I1595" t="s">
        <v>1215</v>
      </c>
      <c r="L1595" t="s">
        <v>41</v>
      </c>
      <c r="M1595">
        <v>4795.5</v>
      </c>
      <c r="AG1595">
        <v>4795.5</v>
      </c>
      <c r="AH1595" s="1">
        <v>41323</v>
      </c>
      <c r="AI1595" s="1">
        <v>41333</v>
      </c>
      <c r="AJ1595" s="1">
        <v>41323</v>
      </c>
    </row>
    <row r="1596" spans="1:36" ht="15">
      <c r="A1596" t="str">
        <f>"4922573BBC"</f>
        <v>4922573BBC</v>
      </c>
      <c r="B1596" t="str">
        <f t="shared" si="69"/>
        <v>02406911202</v>
      </c>
      <c r="C1596" t="s">
        <v>13</v>
      </c>
      <c r="D1596" t="s">
        <v>1145</v>
      </c>
      <c r="E1596" t="s">
        <v>1148</v>
      </c>
      <c r="F1596" t="s">
        <v>796</v>
      </c>
      <c r="G1596" t="str">
        <f>"03551890373"</f>
        <v>03551890373</v>
      </c>
      <c r="I1596" t="s">
        <v>1166</v>
      </c>
      <c r="L1596" t="s">
        <v>41</v>
      </c>
      <c r="M1596">
        <v>14281.44</v>
      </c>
      <c r="AG1596">
        <v>14281.44</v>
      </c>
      <c r="AH1596" s="1">
        <v>41347</v>
      </c>
      <c r="AI1596" s="1">
        <v>41357</v>
      </c>
      <c r="AJ1596" s="1">
        <v>41347</v>
      </c>
    </row>
    <row r="1597" spans="1:36" ht="15">
      <c r="A1597" t="str">
        <f>"49226489A1"</f>
        <v>49226489A1</v>
      </c>
      <c r="B1597" t="str">
        <f t="shared" si="69"/>
        <v>02406911202</v>
      </c>
      <c r="C1597" t="s">
        <v>13</v>
      </c>
      <c r="D1597" t="s">
        <v>1145</v>
      </c>
      <c r="E1597" t="s">
        <v>1148</v>
      </c>
      <c r="F1597" t="s">
        <v>796</v>
      </c>
      <c r="G1597" t="str">
        <f>"01169830336"</f>
        <v>01169830336</v>
      </c>
      <c r="I1597" t="s">
        <v>1216</v>
      </c>
      <c r="L1597" t="s">
        <v>41</v>
      </c>
      <c r="M1597">
        <v>5700</v>
      </c>
      <c r="AG1597">
        <v>5700</v>
      </c>
      <c r="AH1597" s="1">
        <v>41323</v>
      </c>
      <c r="AI1597" s="1">
        <v>41333</v>
      </c>
      <c r="AJ1597" s="1">
        <v>41323</v>
      </c>
    </row>
    <row r="1598" spans="1:36" ht="15">
      <c r="A1598" t="str">
        <f>"4922668A22"</f>
        <v>4922668A22</v>
      </c>
      <c r="B1598" t="str">
        <f t="shared" si="69"/>
        <v>02406911202</v>
      </c>
      <c r="C1598" t="s">
        <v>13</v>
      </c>
      <c r="D1598" t="s">
        <v>1145</v>
      </c>
      <c r="E1598" t="s">
        <v>1148</v>
      </c>
      <c r="F1598" t="s">
        <v>796</v>
      </c>
      <c r="G1598" t="str">
        <f>"01236610398"</f>
        <v>01236610398</v>
      </c>
      <c r="I1598" t="s">
        <v>1217</v>
      </c>
      <c r="L1598" t="s">
        <v>41</v>
      </c>
      <c r="M1598">
        <v>14170</v>
      </c>
      <c r="AG1598">
        <v>14170</v>
      </c>
      <c r="AH1598" s="1">
        <v>41549</v>
      </c>
      <c r="AI1598" s="1">
        <v>41559</v>
      </c>
      <c r="AJ1598" s="1">
        <v>41549</v>
      </c>
    </row>
    <row r="1599" spans="1:36" ht="15">
      <c r="A1599" t="str">
        <f>"4922689B76"</f>
        <v>4922689B76</v>
      </c>
      <c r="B1599" t="str">
        <f t="shared" si="69"/>
        <v>02406911202</v>
      </c>
      <c r="C1599" t="s">
        <v>13</v>
      </c>
      <c r="D1599" t="s">
        <v>1145</v>
      </c>
      <c r="E1599" t="s">
        <v>1148</v>
      </c>
      <c r="F1599" t="s">
        <v>796</v>
      </c>
      <c r="G1599" t="str">
        <f>"02622410401"</f>
        <v>02622410401</v>
      </c>
      <c r="I1599" t="s">
        <v>1218</v>
      </c>
      <c r="L1599" t="s">
        <v>41</v>
      </c>
      <c r="M1599">
        <v>5000</v>
      </c>
      <c r="AG1599">
        <v>5000</v>
      </c>
      <c r="AH1599" s="1">
        <v>41334</v>
      </c>
      <c r="AI1599" s="1">
        <v>41344</v>
      </c>
      <c r="AJ1599" s="1">
        <v>41334</v>
      </c>
    </row>
    <row r="1600" spans="1:36" ht="15">
      <c r="A1600" t="str">
        <f>"4922709BF7"</f>
        <v>4922709BF7</v>
      </c>
      <c r="B1600" t="str">
        <f t="shared" si="69"/>
        <v>02406911202</v>
      </c>
      <c r="C1600" t="s">
        <v>13</v>
      </c>
      <c r="D1600" t="s">
        <v>1145</v>
      </c>
      <c r="E1600" t="s">
        <v>1148</v>
      </c>
      <c r="F1600" t="s">
        <v>796</v>
      </c>
      <c r="G1600" t="str">
        <f>"02714091200"</f>
        <v>02714091200</v>
      </c>
      <c r="I1600" t="s">
        <v>1219</v>
      </c>
      <c r="L1600" t="s">
        <v>41</v>
      </c>
      <c r="M1600">
        <v>2180</v>
      </c>
      <c r="AG1600">
        <v>2180</v>
      </c>
      <c r="AH1600" s="1">
        <v>41324</v>
      </c>
      <c r="AI1600" s="1">
        <v>41334</v>
      </c>
      <c r="AJ1600" s="1">
        <v>41324</v>
      </c>
    </row>
    <row r="1601" spans="1:36" ht="15">
      <c r="A1601" t="str">
        <f>"492272050D"</f>
        <v>492272050D</v>
      </c>
      <c r="B1601" t="str">
        <f t="shared" si="69"/>
        <v>02406911202</v>
      </c>
      <c r="C1601" t="s">
        <v>13</v>
      </c>
      <c r="D1601" t="s">
        <v>1145</v>
      </c>
      <c r="E1601" t="s">
        <v>1148</v>
      </c>
      <c r="F1601" t="s">
        <v>796</v>
      </c>
      <c r="G1601" t="str">
        <f>"02707810400"</f>
        <v>02707810400</v>
      </c>
      <c r="I1601" t="s">
        <v>1220</v>
      </c>
      <c r="L1601" t="s">
        <v>41</v>
      </c>
      <c r="M1601">
        <v>7298</v>
      </c>
      <c r="AG1601">
        <v>7298.18</v>
      </c>
      <c r="AH1601" s="1">
        <v>41324</v>
      </c>
      <c r="AI1601" s="1">
        <v>41334</v>
      </c>
      <c r="AJ1601" s="1">
        <v>41324</v>
      </c>
    </row>
    <row r="1602" spans="1:36" ht="15">
      <c r="A1602" t="str">
        <f>"492275411D"</f>
        <v>492275411D</v>
      </c>
      <c r="B1602" t="str">
        <f aca="true" t="shared" si="70" ref="B1602:B1665">"02406911202"</f>
        <v>02406911202</v>
      </c>
      <c r="C1602" t="s">
        <v>13</v>
      </c>
      <c r="D1602" t="s">
        <v>1145</v>
      </c>
      <c r="E1602" t="s">
        <v>1148</v>
      </c>
      <c r="F1602" t="s">
        <v>796</v>
      </c>
      <c r="G1602" t="str">
        <f>"01985091204"</f>
        <v>01985091204</v>
      </c>
      <c r="I1602" t="s">
        <v>1221</v>
      </c>
      <c r="L1602" t="s">
        <v>41</v>
      </c>
      <c r="M1602">
        <v>6800</v>
      </c>
      <c r="AG1602">
        <v>6800</v>
      </c>
      <c r="AH1602" s="1">
        <v>41325</v>
      </c>
      <c r="AI1602" s="1">
        <v>41335</v>
      </c>
      <c r="AJ1602" s="1">
        <v>41325</v>
      </c>
    </row>
    <row r="1603" spans="1:36" ht="15">
      <c r="A1603" t="str">
        <f>"4922786B82"</f>
        <v>4922786B82</v>
      </c>
      <c r="B1603" t="str">
        <f t="shared" si="70"/>
        <v>02406911202</v>
      </c>
      <c r="C1603" t="s">
        <v>13</v>
      </c>
      <c r="D1603" t="s">
        <v>1145</v>
      </c>
      <c r="E1603" t="s">
        <v>1148</v>
      </c>
      <c r="F1603" t="s">
        <v>796</v>
      </c>
      <c r="G1603" t="str">
        <f>"00662101203"</f>
        <v>00662101203</v>
      </c>
      <c r="I1603" t="s">
        <v>1222</v>
      </c>
      <c r="L1603" t="s">
        <v>41</v>
      </c>
      <c r="M1603">
        <v>6000</v>
      </c>
      <c r="AG1603">
        <v>6000</v>
      </c>
      <c r="AH1603" s="1">
        <v>41325</v>
      </c>
      <c r="AI1603" s="1">
        <v>41335</v>
      </c>
      <c r="AJ1603" s="1">
        <v>41325</v>
      </c>
    </row>
    <row r="1604" spans="1:36" ht="15">
      <c r="A1604" t="str">
        <f>"49228196BF"</f>
        <v>49228196BF</v>
      </c>
      <c r="B1604" t="str">
        <f t="shared" si="70"/>
        <v>02406911202</v>
      </c>
      <c r="C1604" t="s">
        <v>13</v>
      </c>
      <c r="D1604" t="s">
        <v>1145</v>
      </c>
      <c r="E1604" t="s">
        <v>1148</v>
      </c>
      <c r="F1604" t="s">
        <v>796</v>
      </c>
      <c r="G1604" t="str">
        <f>"03962640482"</f>
        <v>03962640482</v>
      </c>
      <c r="I1604" t="s">
        <v>1223</v>
      </c>
      <c r="L1604" t="s">
        <v>41</v>
      </c>
      <c r="M1604">
        <v>2900</v>
      </c>
      <c r="AG1604">
        <v>2900</v>
      </c>
      <c r="AH1604" s="1">
        <v>41325</v>
      </c>
      <c r="AI1604" s="1">
        <v>41335</v>
      </c>
      <c r="AJ1604" s="1">
        <v>41325</v>
      </c>
    </row>
    <row r="1605" spans="1:36" ht="15">
      <c r="A1605" t="str">
        <f>"4924009CC2"</f>
        <v>4924009CC2</v>
      </c>
      <c r="B1605" t="str">
        <f t="shared" si="70"/>
        <v>02406911202</v>
      </c>
      <c r="C1605" t="s">
        <v>13</v>
      </c>
      <c r="D1605" t="s">
        <v>1145</v>
      </c>
      <c r="E1605" t="s">
        <v>1170</v>
      </c>
      <c r="F1605" t="s">
        <v>796</v>
      </c>
      <c r="G1605" t="str">
        <f>"06810761004"</f>
        <v>06810761004</v>
      </c>
      <c r="I1605" t="s">
        <v>1207</v>
      </c>
      <c r="L1605" t="s">
        <v>41</v>
      </c>
      <c r="M1605">
        <v>1582.95</v>
      </c>
      <c r="AG1605">
        <v>1582.95</v>
      </c>
      <c r="AH1605" s="1">
        <v>41316</v>
      </c>
      <c r="AI1605" s="1">
        <v>41326</v>
      </c>
      <c r="AJ1605" s="1">
        <v>41316</v>
      </c>
    </row>
    <row r="1606" spans="1:36" ht="15">
      <c r="A1606" t="str">
        <f>"4924028C70"</f>
        <v>4924028C70</v>
      </c>
      <c r="B1606" t="str">
        <f t="shared" si="70"/>
        <v>02406911202</v>
      </c>
      <c r="C1606" t="s">
        <v>13</v>
      </c>
      <c r="D1606" t="s">
        <v>1145</v>
      </c>
      <c r="E1606" t="s">
        <v>1153</v>
      </c>
      <c r="F1606" t="s">
        <v>796</v>
      </c>
      <c r="G1606" t="str">
        <f>"01844670131"</f>
        <v>01844670131</v>
      </c>
      <c r="I1606" t="s">
        <v>1224</v>
      </c>
      <c r="L1606" t="s">
        <v>41</v>
      </c>
      <c r="M1606">
        <v>419.4</v>
      </c>
      <c r="AG1606">
        <v>419.4</v>
      </c>
      <c r="AH1606" s="1">
        <v>41316</v>
      </c>
      <c r="AI1606" s="1">
        <v>41586</v>
      </c>
      <c r="AJ1606" s="1">
        <v>41316</v>
      </c>
    </row>
    <row r="1607" spans="1:36" ht="15">
      <c r="A1607" t="str">
        <f>"49240384B3"</f>
        <v>49240384B3</v>
      </c>
      <c r="B1607" t="str">
        <f t="shared" si="70"/>
        <v>02406911202</v>
      </c>
      <c r="C1607" t="s">
        <v>13</v>
      </c>
      <c r="D1607" t="s">
        <v>1145</v>
      </c>
      <c r="E1607" t="s">
        <v>1170</v>
      </c>
      <c r="F1607" t="s">
        <v>796</v>
      </c>
      <c r="G1607" t="str">
        <f>"02376321200"</f>
        <v>02376321200</v>
      </c>
      <c r="I1607" t="s">
        <v>1225</v>
      </c>
      <c r="L1607" t="s">
        <v>41</v>
      </c>
      <c r="M1607">
        <v>725</v>
      </c>
      <c r="AG1607">
        <v>725</v>
      </c>
      <c r="AH1607" s="1">
        <v>41316</v>
      </c>
      <c r="AI1607" s="1">
        <v>41326</v>
      </c>
      <c r="AJ1607" s="1">
        <v>41316</v>
      </c>
    </row>
    <row r="1608" spans="1:36" ht="15">
      <c r="A1608" t="str">
        <f>"4924280C65"</f>
        <v>4924280C65</v>
      </c>
      <c r="B1608" t="str">
        <f t="shared" si="70"/>
        <v>02406911202</v>
      </c>
      <c r="C1608" t="s">
        <v>13</v>
      </c>
      <c r="D1608" t="s">
        <v>1145</v>
      </c>
      <c r="E1608" t="s">
        <v>1204</v>
      </c>
      <c r="F1608" t="s">
        <v>796</v>
      </c>
      <c r="G1608" t="str">
        <f>"01170160889"</f>
        <v>01170160889</v>
      </c>
      <c r="I1608" t="s">
        <v>1226</v>
      </c>
      <c r="L1608" t="s">
        <v>41</v>
      </c>
      <c r="M1608">
        <v>8962.2</v>
      </c>
      <c r="AG1608">
        <v>8962.2</v>
      </c>
      <c r="AH1608" s="1">
        <v>41316</v>
      </c>
      <c r="AI1608" s="1">
        <v>41376</v>
      </c>
      <c r="AJ1608" s="1">
        <v>41316</v>
      </c>
    </row>
    <row r="1609" spans="1:36" ht="15">
      <c r="A1609" t="str">
        <f>"49263486F8"</f>
        <v>49263486F8</v>
      </c>
      <c r="B1609" t="str">
        <f t="shared" si="70"/>
        <v>02406911202</v>
      </c>
      <c r="C1609" t="s">
        <v>13</v>
      </c>
      <c r="D1609" t="s">
        <v>1145</v>
      </c>
      <c r="E1609" t="s">
        <v>1204</v>
      </c>
      <c r="F1609" t="s">
        <v>796</v>
      </c>
      <c r="G1609" t="str">
        <f>"00740430335"</f>
        <v>00740430335</v>
      </c>
      <c r="I1609" t="s">
        <v>1151</v>
      </c>
      <c r="L1609" t="s">
        <v>41</v>
      </c>
      <c r="M1609">
        <v>2600</v>
      </c>
      <c r="AG1609">
        <v>2600</v>
      </c>
      <c r="AH1609" s="1">
        <v>41317</v>
      </c>
      <c r="AI1609" s="1">
        <v>41327</v>
      </c>
      <c r="AJ1609" s="1">
        <v>41317</v>
      </c>
    </row>
    <row r="1610" spans="1:36" ht="15">
      <c r="A1610" t="str">
        <f>"4929012D5D"</f>
        <v>4929012D5D</v>
      </c>
      <c r="B1610" t="str">
        <f t="shared" si="70"/>
        <v>02406911202</v>
      </c>
      <c r="C1610" t="s">
        <v>13</v>
      </c>
      <c r="D1610" t="s">
        <v>1145</v>
      </c>
      <c r="E1610" t="s">
        <v>1153</v>
      </c>
      <c r="F1610" t="s">
        <v>796</v>
      </c>
      <c r="G1610" t="str">
        <f>"04641681004"</f>
        <v>04641681004</v>
      </c>
      <c r="I1610" t="s">
        <v>1205</v>
      </c>
      <c r="L1610" t="s">
        <v>41</v>
      </c>
      <c r="M1610">
        <v>1672.37</v>
      </c>
      <c r="AG1610">
        <v>1672.37</v>
      </c>
      <c r="AH1610" s="1">
        <v>41317</v>
      </c>
      <c r="AI1610" s="1">
        <v>41376</v>
      </c>
      <c r="AJ1610" s="1">
        <v>41317</v>
      </c>
    </row>
    <row r="1611" spans="1:36" ht="15">
      <c r="A1611" t="str">
        <f>"4929590A59"</f>
        <v>4929590A59</v>
      </c>
      <c r="B1611" t="str">
        <f t="shared" si="70"/>
        <v>02406911202</v>
      </c>
      <c r="C1611" t="s">
        <v>13</v>
      </c>
      <c r="D1611" t="s">
        <v>1145</v>
      </c>
      <c r="E1611" t="s">
        <v>1153</v>
      </c>
      <c r="F1611" t="s">
        <v>796</v>
      </c>
      <c r="G1611" t="str">
        <f>"02978261200"</f>
        <v>02978261200</v>
      </c>
      <c r="I1611" t="s">
        <v>1227</v>
      </c>
      <c r="L1611" t="s">
        <v>41</v>
      </c>
      <c r="M1611">
        <v>420</v>
      </c>
      <c r="AG1611">
        <v>420</v>
      </c>
      <c r="AH1611" s="1">
        <v>41317</v>
      </c>
      <c r="AI1611" s="1">
        <v>41327</v>
      </c>
      <c r="AJ1611" s="1">
        <v>41317</v>
      </c>
    </row>
    <row r="1612" spans="1:36" ht="15">
      <c r="A1612" t="str">
        <f>"492975200C"</f>
        <v>492975200C</v>
      </c>
      <c r="B1612" t="str">
        <f t="shared" si="70"/>
        <v>02406911202</v>
      </c>
      <c r="C1612" t="s">
        <v>13</v>
      </c>
      <c r="D1612" t="s">
        <v>1145</v>
      </c>
      <c r="E1612" t="s">
        <v>1153</v>
      </c>
      <c r="F1612" t="s">
        <v>796</v>
      </c>
      <c r="G1612" t="str">
        <f>"01647890209"</f>
        <v>01647890209</v>
      </c>
      <c r="I1612" t="s">
        <v>246</v>
      </c>
      <c r="L1612" t="s">
        <v>41</v>
      </c>
      <c r="M1612">
        <v>3563</v>
      </c>
      <c r="AG1612">
        <v>3563</v>
      </c>
      <c r="AH1612" s="1">
        <v>41317</v>
      </c>
      <c r="AI1612" s="1">
        <v>41554</v>
      </c>
      <c r="AJ1612" s="1">
        <v>41317</v>
      </c>
    </row>
    <row r="1613" spans="1:36" ht="15">
      <c r="A1613" t="str">
        <f>"4940725F3C"</f>
        <v>4940725F3C</v>
      </c>
      <c r="B1613" t="str">
        <f t="shared" si="70"/>
        <v>02406911202</v>
      </c>
      <c r="C1613" t="s">
        <v>13</v>
      </c>
      <c r="D1613" t="s">
        <v>1145</v>
      </c>
      <c r="E1613" t="s">
        <v>1228</v>
      </c>
      <c r="F1613" t="s">
        <v>796</v>
      </c>
      <c r="G1613" t="str">
        <f>"01772070387"</f>
        <v>01772070387</v>
      </c>
      <c r="I1613" t="s">
        <v>1229</v>
      </c>
      <c r="L1613" t="s">
        <v>41</v>
      </c>
      <c r="M1613">
        <v>7140.01</v>
      </c>
      <c r="AG1613">
        <v>7140.01</v>
      </c>
      <c r="AH1613" s="1">
        <v>41323</v>
      </c>
      <c r="AI1613" s="1">
        <v>41358</v>
      </c>
      <c r="AJ1613" s="1">
        <v>41323</v>
      </c>
    </row>
    <row r="1614" spans="1:36" ht="15">
      <c r="A1614" t="str">
        <f>"494106362C"</f>
        <v>494106362C</v>
      </c>
      <c r="B1614" t="str">
        <f t="shared" si="70"/>
        <v>02406911202</v>
      </c>
      <c r="C1614" t="s">
        <v>13</v>
      </c>
      <c r="D1614" t="s">
        <v>1145</v>
      </c>
      <c r="E1614" t="s">
        <v>1186</v>
      </c>
      <c r="F1614" t="s">
        <v>796</v>
      </c>
      <c r="G1614" t="str">
        <f>"01383490354"</f>
        <v>01383490354</v>
      </c>
      <c r="I1614" t="s">
        <v>627</v>
      </c>
      <c r="L1614" t="s">
        <v>41</v>
      </c>
      <c r="M1614">
        <v>5160</v>
      </c>
      <c r="AG1614">
        <v>5160</v>
      </c>
      <c r="AH1614" s="1">
        <v>41323</v>
      </c>
      <c r="AI1614" s="1">
        <v>41616</v>
      </c>
      <c r="AJ1614" s="1">
        <v>41323</v>
      </c>
    </row>
    <row r="1615" spans="1:36" ht="15">
      <c r="A1615" t="str">
        <f>"494120180D"</f>
        <v>494120180D</v>
      </c>
      <c r="B1615" t="str">
        <f t="shared" si="70"/>
        <v>02406911202</v>
      </c>
      <c r="C1615" t="s">
        <v>13</v>
      </c>
      <c r="D1615" t="s">
        <v>1145</v>
      </c>
      <c r="E1615" t="s">
        <v>1158</v>
      </c>
      <c r="F1615" t="s">
        <v>796</v>
      </c>
      <c r="G1615" t="str">
        <f>"02969631205"</f>
        <v>02969631205</v>
      </c>
      <c r="I1615" t="s">
        <v>1203</v>
      </c>
      <c r="L1615" t="s">
        <v>41</v>
      </c>
      <c r="M1615">
        <v>5453</v>
      </c>
      <c r="AG1615">
        <v>5453</v>
      </c>
      <c r="AH1615" s="1">
        <v>41341</v>
      </c>
      <c r="AI1615" s="1">
        <v>41649</v>
      </c>
      <c r="AJ1615" s="1">
        <v>41341</v>
      </c>
    </row>
    <row r="1616" spans="1:36" ht="15">
      <c r="A1616" t="str">
        <f>"4941360B42"</f>
        <v>4941360B42</v>
      </c>
      <c r="B1616" t="str">
        <f t="shared" si="70"/>
        <v>02406911202</v>
      </c>
      <c r="C1616" t="s">
        <v>13</v>
      </c>
      <c r="D1616" t="s">
        <v>1145</v>
      </c>
      <c r="E1616" t="s">
        <v>1146</v>
      </c>
      <c r="F1616" t="s">
        <v>796</v>
      </c>
      <c r="G1616" t="str">
        <f>"02986820237"</f>
        <v>02986820237</v>
      </c>
      <c r="I1616" t="s">
        <v>250</v>
      </c>
      <c r="L1616" t="s">
        <v>41</v>
      </c>
      <c r="M1616">
        <v>4468.8</v>
      </c>
      <c r="AG1616">
        <v>4614.34</v>
      </c>
      <c r="AH1616" s="1">
        <v>41323</v>
      </c>
      <c r="AI1616" s="1">
        <v>41333</v>
      </c>
      <c r="AJ1616" s="1">
        <v>41323</v>
      </c>
    </row>
    <row r="1617" spans="1:36" ht="15">
      <c r="A1617" t="str">
        <f>"4941598FA8"</f>
        <v>4941598FA8</v>
      </c>
      <c r="B1617" t="str">
        <f t="shared" si="70"/>
        <v>02406911202</v>
      </c>
      <c r="C1617" t="s">
        <v>13</v>
      </c>
      <c r="D1617" t="s">
        <v>1145</v>
      </c>
      <c r="E1617" t="s">
        <v>1178</v>
      </c>
      <c r="F1617" t="s">
        <v>796</v>
      </c>
      <c r="G1617" t="str">
        <f>"02048930206"</f>
        <v>02048930206</v>
      </c>
      <c r="I1617" t="s">
        <v>1230</v>
      </c>
      <c r="L1617" t="s">
        <v>41</v>
      </c>
      <c r="M1617">
        <v>3282</v>
      </c>
      <c r="AG1617">
        <v>3282</v>
      </c>
      <c r="AH1617" s="1">
        <v>41325</v>
      </c>
      <c r="AI1617" s="1">
        <v>41335</v>
      </c>
      <c r="AJ1617" s="1">
        <v>41325</v>
      </c>
    </row>
    <row r="1618" spans="1:36" ht="15">
      <c r="A1618" t="str">
        <f>"49416423FB"</f>
        <v>49416423FB</v>
      </c>
      <c r="B1618" t="str">
        <f t="shared" si="70"/>
        <v>02406911202</v>
      </c>
      <c r="C1618" t="s">
        <v>13</v>
      </c>
      <c r="D1618" t="s">
        <v>1145</v>
      </c>
      <c r="E1618" t="s">
        <v>1170</v>
      </c>
      <c r="F1618" t="s">
        <v>796</v>
      </c>
      <c r="G1618" t="str">
        <f>"04406950875"</f>
        <v>04406950875</v>
      </c>
      <c r="I1618" t="s">
        <v>1231</v>
      </c>
      <c r="L1618" t="s">
        <v>41</v>
      </c>
      <c r="M1618">
        <v>312.85</v>
      </c>
      <c r="AG1618">
        <v>312.85</v>
      </c>
      <c r="AH1618" s="1">
        <v>41331</v>
      </c>
      <c r="AI1618" s="1">
        <v>41341</v>
      </c>
      <c r="AJ1618" s="1">
        <v>41331</v>
      </c>
    </row>
    <row r="1619" spans="1:36" ht="15">
      <c r="A1619" t="str">
        <f>"49417014AB"</f>
        <v>49417014AB</v>
      </c>
      <c r="B1619" t="str">
        <f t="shared" si="70"/>
        <v>02406911202</v>
      </c>
      <c r="C1619" t="s">
        <v>13</v>
      </c>
      <c r="D1619" t="s">
        <v>1145</v>
      </c>
      <c r="E1619" t="s">
        <v>1148</v>
      </c>
      <c r="F1619" t="s">
        <v>796</v>
      </c>
      <c r="G1619" t="str">
        <f>"08877930019"</f>
        <v>08877930019</v>
      </c>
      <c r="I1619" t="s">
        <v>1232</v>
      </c>
      <c r="L1619" t="s">
        <v>41</v>
      </c>
      <c r="M1619">
        <v>7948.13</v>
      </c>
      <c r="AG1619">
        <v>7948.13</v>
      </c>
      <c r="AH1619" s="1">
        <v>41325</v>
      </c>
      <c r="AI1619" s="1">
        <v>41335</v>
      </c>
      <c r="AJ1619" s="1">
        <v>41325</v>
      </c>
    </row>
    <row r="1620" spans="1:36" ht="15">
      <c r="A1620" t="str">
        <f>"4941734FE3"</f>
        <v>4941734FE3</v>
      </c>
      <c r="B1620" t="str">
        <f t="shared" si="70"/>
        <v>02406911202</v>
      </c>
      <c r="C1620" t="s">
        <v>13</v>
      </c>
      <c r="D1620" t="s">
        <v>1145</v>
      </c>
      <c r="E1620" t="s">
        <v>1148</v>
      </c>
      <c r="F1620" t="s">
        <v>796</v>
      </c>
      <c r="G1620" t="str">
        <f>"03034580369"</f>
        <v>03034580369</v>
      </c>
      <c r="I1620" t="s">
        <v>1233</v>
      </c>
      <c r="L1620" t="s">
        <v>41</v>
      </c>
      <c r="M1620">
        <v>2704</v>
      </c>
      <c r="AG1620">
        <v>2704</v>
      </c>
      <c r="AH1620" s="1">
        <v>41325</v>
      </c>
      <c r="AI1620" s="1">
        <v>41335</v>
      </c>
      <c r="AJ1620" s="1">
        <v>41325</v>
      </c>
    </row>
    <row r="1621" spans="1:36" ht="15">
      <c r="A1621" t="str">
        <f>"4941769CC6"</f>
        <v>4941769CC6</v>
      </c>
      <c r="B1621" t="str">
        <f t="shared" si="70"/>
        <v>02406911202</v>
      </c>
      <c r="C1621" t="s">
        <v>13</v>
      </c>
      <c r="D1621" t="s">
        <v>1145</v>
      </c>
      <c r="E1621" t="s">
        <v>1148</v>
      </c>
      <c r="F1621" t="s">
        <v>796</v>
      </c>
      <c r="G1621" t="str">
        <f>"03593670379"</f>
        <v>03593670379</v>
      </c>
      <c r="I1621" t="s">
        <v>1234</v>
      </c>
      <c r="L1621" t="s">
        <v>41</v>
      </c>
      <c r="M1621">
        <v>10335</v>
      </c>
      <c r="AG1621">
        <v>10335</v>
      </c>
      <c r="AH1621" s="1">
        <v>41325</v>
      </c>
      <c r="AI1621" s="1">
        <v>41335</v>
      </c>
      <c r="AJ1621" s="1">
        <v>41325</v>
      </c>
    </row>
    <row r="1622" spans="1:36" ht="15">
      <c r="A1622" t="str">
        <f>"4941865BFF"</f>
        <v>4941865BFF</v>
      </c>
      <c r="B1622" t="str">
        <f t="shared" si="70"/>
        <v>02406911202</v>
      </c>
      <c r="C1622" t="s">
        <v>13</v>
      </c>
      <c r="D1622" t="s">
        <v>1145</v>
      </c>
      <c r="E1622" t="s">
        <v>1148</v>
      </c>
      <c r="F1622" t="s">
        <v>796</v>
      </c>
      <c r="G1622" t="str">
        <f>"01035310414"</f>
        <v>01035310414</v>
      </c>
      <c r="I1622" t="s">
        <v>1235</v>
      </c>
      <c r="L1622" t="s">
        <v>41</v>
      </c>
      <c r="M1622">
        <v>3234</v>
      </c>
      <c r="AG1622">
        <v>3234</v>
      </c>
      <c r="AH1622" s="1">
        <v>41325</v>
      </c>
      <c r="AI1622" s="1">
        <v>41335</v>
      </c>
      <c r="AJ1622" s="1">
        <v>41325</v>
      </c>
    </row>
    <row r="1623" spans="1:36" ht="15">
      <c r="A1623" t="str">
        <f>"494189331D"</f>
        <v>494189331D</v>
      </c>
      <c r="B1623" t="str">
        <f t="shared" si="70"/>
        <v>02406911202</v>
      </c>
      <c r="C1623" t="s">
        <v>13</v>
      </c>
      <c r="D1623" t="s">
        <v>1145</v>
      </c>
      <c r="E1623" t="s">
        <v>1148</v>
      </c>
      <c r="F1623" t="s">
        <v>796</v>
      </c>
      <c r="G1623" t="str">
        <f>"02140651205"</f>
        <v>02140651205</v>
      </c>
      <c r="I1623" t="s">
        <v>1236</v>
      </c>
      <c r="L1623" t="s">
        <v>41</v>
      </c>
      <c r="M1623">
        <v>740</v>
      </c>
      <c r="AG1623">
        <v>740</v>
      </c>
      <c r="AH1623" s="1">
        <v>41325</v>
      </c>
      <c r="AI1623" s="1">
        <v>41335</v>
      </c>
      <c r="AJ1623" s="1">
        <v>41325</v>
      </c>
    </row>
    <row r="1624" spans="1:36" ht="15">
      <c r="A1624" t="str">
        <f>"49458661BD"</f>
        <v>49458661BD</v>
      </c>
      <c r="B1624" t="str">
        <f t="shared" si="70"/>
        <v>02406911202</v>
      </c>
      <c r="C1624" t="s">
        <v>13</v>
      </c>
      <c r="D1624" t="s">
        <v>1145</v>
      </c>
      <c r="E1624" t="s">
        <v>1173</v>
      </c>
      <c r="F1624" t="s">
        <v>796</v>
      </c>
      <c r="G1624" t="str">
        <f>"01647890209"</f>
        <v>01647890209</v>
      </c>
      <c r="I1624" t="s">
        <v>246</v>
      </c>
      <c r="L1624" t="s">
        <v>41</v>
      </c>
      <c r="M1624">
        <v>1120.9</v>
      </c>
      <c r="AG1624">
        <v>1120.9</v>
      </c>
      <c r="AH1624" s="1">
        <v>41324</v>
      </c>
      <c r="AI1624" s="1">
        <v>41334</v>
      </c>
      <c r="AJ1624" s="1">
        <v>41324</v>
      </c>
    </row>
    <row r="1625" spans="1:36" ht="15">
      <c r="A1625" t="str">
        <f>"4948614D72"</f>
        <v>4948614D72</v>
      </c>
      <c r="B1625" t="str">
        <f t="shared" si="70"/>
        <v>02406911202</v>
      </c>
      <c r="C1625" t="s">
        <v>13</v>
      </c>
      <c r="D1625" t="s">
        <v>1145</v>
      </c>
      <c r="E1625" t="s">
        <v>1184</v>
      </c>
      <c r="F1625" t="s">
        <v>796</v>
      </c>
      <c r="G1625" t="str">
        <f>"01170160889"</f>
        <v>01170160889</v>
      </c>
      <c r="I1625" t="s">
        <v>1226</v>
      </c>
      <c r="L1625" t="s">
        <v>41</v>
      </c>
      <c r="M1625">
        <v>6521.6</v>
      </c>
      <c r="AG1625">
        <v>6521.6</v>
      </c>
      <c r="AH1625" s="1">
        <v>41331</v>
      </c>
      <c r="AI1625" s="1">
        <v>41600</v>
      </c>
      <c r="AJ1625" s="1">
        <v>41331</v>
      </c>
    </row>
    <row r="1626" spans="1:36" ht="15">
      <c r="A1626" t="str">
        <f>"4951714BA6"</f>
        <v>4951714BA6</v>
      </c>
      <c r="B1626" t="str">
        <f t="shared" si="70"/>
        <v>02406911202</v>
      </c>
      <c r="C1626" t="s">
        <v>13</v>
      </c>
      <c r="D1626" t="s">
        <v>1145</v>
      </c>
      <c r="E1626" t="s">
        <v>1237</v>
      </c>
      <c r="F1626" t="s">
        <v>796</v>
      </c>
      <c r="G1626" t="str">
        <f>"01772070387"</f>
        <v>01772070387</v>
      </c>
      <c r="I1626" t="s">
        <v>1229</v>
      </c>
      <c r="L1626" t="s">
        <v>41</v>
      </c>
      <c r="M1626">
        <v>4500</v>
      </c>
      <c r="AG1626">
        <v>4500</v>
      </c>
      <c r="AH1626" s="1">
        <v>41333</v>
      </c>
      <c r="AI1626" s="1">
        <v>41343</v>
      </c>
      <c r="AJ1626" s="1">
        <v>41333</v>
      </c>
    </row>
    <row r="1627" spans="1:36" ht="15">
      <c r="A1627" t="str">
        <f>"4951736DCD"</f>
        <v>4951736DCD</v>
      </c>
      <c r="B1627" t="str">
        <f t="shared" si="70"/>
        <v>02406911202</v>
      </c>
      <c r="C1627" t="s">
        <v>13</v>
      </c>
      <c r="D1627" t="s">
        <v>1145</v>
      </c>
      <c r="E1627" t="s">
        <v>1237</v>
      </c>
      <c r="F1627" t="s">
        <v>796</v>
      </c>
      <c r="G1627" t="str">
        <f>"02958520542"</f>
        <v>02958520542</v>
      </c>
      <c r="I1627" t="s">
        <v>1238</v>
      </c>
      <c r="L1627" t="s">
        <v>41</v>
      </c>
      <c r="M1627">
        <v>5000</v>
      </c>
      <c r="AG1627">
        <v>5000</v>
      </c>
      <c r="AH1627" s="1">
        <v>41333</v>
      </c>
      <c r="AI1627" s="1">
        <v>41343</v>
      </c>
      <c r="AJ1627" s="1">
        <v>41333</v>
      </c>
    </row>
    <row r="1628" spans="1:36" ht="15">
      <c r="A1628" t="str">
        <f>"495177914D"</f>
        <v>495177914D</v>
      </c>
      <c r="B1628" t="str">
        <f t="shared" si="70"/>
        <v>02406911202</v>
      </c>
      <c r="C1628" t="s">
        <v>13</v>
      </c>
      <c r="D1628" t="s">
        <v>1145</v>
      </c>
      <c r="E1628" t="s">
        <v>1237</v>
      </c>
      <c r="F1628" t="s">
        <v>796</v>
      </c>
      <c r="G1628" t="str">
        <f>"07933030152"</f>
        <v>07933030152</v>
      </c>
      <c r="I1628" t="s">
        <v>1239</v>
      </c>
      <c r="L1628" t="s">
        <v>41</v>
      </c>
      <c r="M1628">
        <v>16415.5</v>
      </c>
      <c r="AG1628">
        <v>16415.86</v>
      </c>
      <c r="AH1628" s="1">
        <v>41333</v>
      </c>
      <c r="AI1628" s="1">
        <v>41343</v>
      </c>
      <c r="AJ1628" s="1">
        <v>41333</v>
      </c>
    </row>
    <row r="1629" spans="1:36" ht="15">
      <c r="A1629" t="str">
        <f>"4951795E7D"</f>
        <v>4951795E7D</v>
      </c>
      <c r="B1629" t="str">
        <f t="shared" si="70"/>
        <v>02406911202</v>
      </c>
      <c r="C1629" t="s">
        <v>13</v>
      </c>
      <c r="D1629" t="s">
        <v>1145</v>
      </c>
      <c r="E1629" t="s">
        <v>1237</v>
      </c>
      <c r="F1629" t="s">
        <v>796</v>
      </c>
      <c r="G1629" t="str">
        <f>"02196721209"</f>
        <v>02196721209</v>
      </c>
      <c r="I1629" t="s">
        <v>1240</v>
      </c>
      <c r="L1629" t="s">
        <v>41</v>
      </c>
      <c r="M1629">
        <v>650</v>
      </c>
      <c r="AG1629">
        <v>650</v>
      </c>
      <c r="AH1629" s="1">
        <v>41333</v>
      </c>
      <c r="AI1629" s="1">
        <v>41343</v>
      </c>
      <c r="AJ1629" s="1">
        <v>41333</v>
      </c>
    </row>
    <row r="1630" spans="1:36" ht="15">
      <c r="A1630" t="str">
        <f>"49518056C0"</f>
        <v>49518056C0</v>
      </c>
      <c r="B1630" t="str">
        <f t="shared" si="70"/>
        <v>02406911202</v>
      </c>
      <c r="C1630" t="s">
        <v>13</v>
      </c>
      <c r="D1630" t="s">
        <v>1145</v>
      </c>
      <c r="E1630" t="s">
        <v>1237</v>
      </c>
      <c r="F1630" t="s">
        <v>796</v>
      </c>
      <c r="G1630" t="str">
        <f>"03593680378"</f>
        <v>03593680378</v>
      </c>
      <c r="I1630" t="s">
        <v>1185</v>
      </c>
      <c r="L1630" t="s">
        <v>41</v>
      </c>
      <c r="M1630">
        <v>1475</v>
      </c>
      <c r="AG1630">
        <v>1475</v>
      </c>
      <c r="AH1630" s="1">
        <v>41333</v>
      </c>
      <c r="AI1630" s="1">
        <v>41467</v>
      </c>
      <c r="AJ1630" s="1">
        <v>41333</v>
      </c>
    </row>
    <row r="1631" spans="1:36" ht="15">
      <c r="A1631" t="str">
        <f>"49518213F5"</f>
        <v>49518213F5</v>
      </c>
      <c r="B1631" t="str">
        <f t="shared" si="70"/>
        <v>02406911202</v>
      </c>
      <c r="C1631" t="s">
        <v>13</v>
      </c>
      <c r="D1631" t="s">
        <v>1145</v>
      </c>
      <c r="E1631" t="s">
        <v>1237</v>
      </c>
      <c r="F1631" t="s">
        <v>796</v>
      </c>
      <c r="G1631" t="str">
        <f>"01258520350"</f>
        <v>01258520350</v>
      </c>
      <c r="I1631" t="s">
        <v>1241</v>
      </c>
      <c r="L1631" t="s">
        <v>41</v>
      </c>
      <c r="M1631">
        <v>525</v>
      </c>
      <c r="AG1631">
        <v>525</v>
      </c>
      <c r="AH1631" s="1">
        <v>41333</v>
      </c>
      <c r="AI1631" s="1">
        <v>41343</v>
      </c>
      <c r="AJ1631" s="1">
        <v>41333</v>
      </c>
    </row>
    <row r="1632" spans="1:36" ht="15">
      <c r="A1632" t="str">
        <f>"495183712A"</f>
        <v>495183712A</v>
      </c>
      <c r="B1632" t="str">
        <f t="shared" si="70"/>
        <v>02406911202</v>
      </c>
      <c r="C1632" t="s">
        <v>13</v>
      </c>
      <c r="D1632" t="s">
        <v>1145</v>
      </c>
      <c r="E1632" t="s">
        <v>1237</v>
      </c>
      <c r="F1632" t="s">
        <v>796</v>
      </c>
      <c r="G1632" t="str">
        <f>"01803850401"</f>
        <v>01803850401</v>
      </c>
      <c r="I1632" t="s">
        <v>1242</v>
      </c>
      <c r="L1632" t="s">
        <v>41</v>
      </c>
      <c r="M1632">
        <v>1600</v>
      </c>
      <c r="AG1632">
        <v>1600</v>
      </c>
      <c r="AH1632" s="1">
        <v>41333</v>
      </c>
      <c r="AI1632" s="1">
        <v>41343</v>
      </c>
      <c r="AJ1632" s="1">
        <v>41333</v>
      </c>
    </row>
    <row r="1633" spans="1:36" ht="15">
      <c r="A1633" t="str">
        <f>"4969959BE6"</f>
        <v>4969959BE6</v>
      </c>
      <c r="B1633" t="str">
        <f t="shared" si="70"/>
        <v>02406911202</v>
      </c>
      <c r="C1633" t="s">
        <v>13</v>
      </c>
      <c r="D1633" t="s">
        <v>1145</v>
      </c>
      <c r="E1633" t="s">
        <v>1243</v>
      </c>
      <c r="F1633" t="s">
        <v>796</v>
      </c>
      <c r="G1633" t="str">
        <f>"01003500293"</f>
        <v>01003500293</v>
      </c>
      <c r="I1633" t="s">
        <v>1213</v>
      </c>
      <c r="L1633" t="s">
        <v>41</v>
      </c>
      <c r="M1633">
        <v>6210</v>
      </c>
      <c r="AG1633">
        <v>6210</v>
      </c>
      <c r="AH1633" s="1">
        <v>41333</v>
      </c>
      <c r="AI1633" s="1">
        <v>41343</v>
      </c>
      <c r="AJ1633" s="1">
        <v>41333</v>
      </c>
    </row>
    <row r="1634" spans="1:36" ht="15">
      <c r="A1634" t="str">
        <f>"49699715CF"</f>
        <v>49699715CF</v>
      </c>
      <c r="B1634" t="str">
        <f t="shared" si="70"/>
        <v>02406911202</v>
      </c>
      <c r="C1634" t="s">
        <v>13</v>
      </c>
      <c r="D1634" t="s">
        <v>1145</v>
      </c>
      <c r="E1634" t="s">
        <v>1243</v>
      </c>
      <c r="F1634" t="s">
        <v>796</v>
      </c>
      <c r="G1634" t="str">
        <f>"02107990281"</f>
        <v>02107990281</v>
      </c>
      <c r="I1634" t="s">
        <v>1214</v>
      </c>
      <c r="L1634" t="s">
        <v>41</v>
      </c>
      <c r="M1634">
        <v>1000</v>
      </c>
      <c r="AG1634">
        <v>1000</v>
      </c>
      <c r="AH1634" s="1">
        <v>41334</v>
      </c>
      <c r="AI1634" s="1">
        <v>41344</v>
      </c>
      <c r="AJ1634" s="1">
        <v>41334</v>
      </c>
    </row>
    <row r="1635" spans="1:36" ht="15">
      <c r="A1635" t="str">
        <f>"497000952B"</f>
        <v>497000952B</v>
      </c>
      <c r="B1635" t="str">
        <f t="shared" si="70"/>
        <v>02406911202</v>
      </c>
      <c r="C1635" t="s">
        <v>13</v>
      </c>
      <c r="D1635" t="s">
        <v>1145</v>
      </c>
      <c r="E1635" t="s">
        <v>1243</v>
      </c>
      <c r="F1635" t="s">
        <v>796</v>
      </c>
      <c r="G1635" t="str">
        <f>"02622410401"</f>
        <v>02622410401</v>
      </c>
      <c r="I1635" t="s">
        <v>1218</v>
      </c>
      <c r="L1635" t="s">
        <v>41</v>
      </c>
      <c r="M1635">
        <v>15000</v>
      </c>
      <c r="AG1635">
        <v>15000</v>
      </c>
      <c r="AH1635" s="1">
        <v>41334</v>
      </c>
      <c r="AI1635" s="1">
        <v>41344</v>
      </c>
      <c r="AJ1635" s="1">
        <v>41334</v>
      </c>
    </row>
    <row r="1636" spans="1:36" ht="15">
      <c r="A1636" t="str">
        <f>"49700338F8"</f>
        <v>49700338F8</v>
      </c>
      <c r="B1636" t="str">
        <f t="shared" si="70"/>
        <v>02406911202</v>
      </c>
      <c r="C1636" t="s">
        <v>13</v>
      </c>
      <c r="D1636" t="s">
        <v>1145</v>
      </c>
      <c r="E1636" t="s">
        <v>1243</v>
      </c>
      <c r="F1636" t="s">
        <v>796</v>
      </c>
      <c r="G1636" t="str">
        <f>"00662101203"</f>
        <v>00662101203</v>
      </c>
      <c r="I1636" t="s">
        <v>1222</v>
      </c>
      <c r="L1636" t="s">
        <v>41</v>
      </c>
      <c r="M1636">
        <v>6000</v>
      </c>
      <c r="AG1636">
        <v>6000</v>
      </c>
      <c r="AH1636" s="1">
        <v>41334</v>
      </c>
      <c r="AI1636" s="1">
        <v>41344</v>
      </c>
      <c r="AJ1636" s="1">
        <v>41334</v>
      </c>
    </row>
    <row r="1637" spans="1:36" ht="15">
      <c r="A1637" t="str">
        <f>"497004313B"</f>
        <v>497004313B</v>
      </c>
      <c r="B1637" t="str">
        <f t="shared" si="70"/>
        <v>02406911202</v>
      </c>
      <c r="C1637" t="s">
        <v>13</v>
      </c>
      <c r="D1637" t="s">
        <v>1145</v>
      </c>
      <c r="E1637" t="s">
        <v>1243</v>
      </c>
      <c r="F1637" t="s">
        <v>796</v>
      </c>
      <c r="G1637" t="str">
        <f>"08877930019"</f>
        <v>08877930019</v>
      </c>
      <c r="I1637" t="s">
        <v>1232</v>
      </c>
      <c r="L1637" t="s">
        <v>41</v>
      </c>
      <c r="M1637">
        <v>3826.88</v>
      </c>
      <c r="AG1637">
        <v>3826.88</v>
      </c>
      <c r="AH1637" s="1">
        <v>41334</v>
      </c>
      <c r="AI1637" s="1">
        <v>41344</v>
      </c>
      <c r="AJ1637" s="1">
        <v>41334</v>
      </c>
    </row>
    <row r="1638" spans="1:36" ht="15">
      <c r="A1638" t="str">
        <f>"4970054A4C"</f>
        <v>4970054A4C</v>
      </c>
      <c r="B1638" t="str">
        <f t="shared" si="70"/>
        <v>02406911202</v>
      </c>
      <c r="C1638" t="s">
        <v>13</v>
      </c>
      <c r="D1638" t="s">
        <v>1145</v>
      </c>
      <c r="E1638" t="s">
        <v>1243</v>
      </c>
      <c r="F1638" t="s">
        <v>796</v>
      </c>
      <c r="G1638" t="str">
        <f>"03593670379"</f>
        <v>03593670379</v>
      </c>
      <c r="I1638" t="s">
        <v>1234</v>
      </c>
      <c r="L1638" t="s">
        <v>41</v>
      </c>
      <c r="M1638">
        <v>12000</v>
      </c>
      <c r="AG1638">
        <v>12000</v>
      </c>
      <c r="AH1638" s="1">
        <v>41334</v>
      </c>
      <c r="AI1638" s="1">
        <v>41344</v>
      </c>
      <c r="AJ1638" s="1">
        <v>41334</v>
      </c>
    </row>
    <row r="1639" spans="1:36" ht="15">
      <c r="A1639" t="str">
        <f>"4970503CD2"</f>
        <v>4970503CD2</v>
      </c>
      <c r="B1639" t="str">
        <f t="shared" si="70"/>
        <v>02406911202</v>
      </c>
      <c r="C1639" t="s">
        <v>13</v>
      </c>
      <c r="D1639" t="s">
        <v>1145</v>
      </c>
      <c r="E1639" t="s">
        <v>1170</v>
      </c>
      <c r="F1639" t="s">
        <v>796</v>
      </c>
      <c r="G1639" t="str">
        <f>"01021490501"</f>
        <v>01021490501</v>
      </c>
      <c r="I1639" t="s">
        <v>1209</v>
      </c>
      <c r="L1639" t="s">
        <v>41</v>
      </c>
      <c r="M1639">
        <v>1955.18</v>
      </c>
      <c r="AG1639">
        <v>1955.18</v>
      </c>
      <c r="AH1639" s="1">
        <v>41337</v>
      </c>
      <c r="AI1639" s="1">
        <v>41600</v>
      </c>
      <c r="AJ1639" s="1">
        <v>41337</v>
      </c>
    </row>
    <row r="1640" spans="1:36" ht="15">
      <c r="A1640" t="str">
        <f>"49734214D7"</f>
        <v>49734214D7</v>
      </c>
      <c r="B1640" t="str">
        <f t="shared" si="70"/>
        <v>02406911202</v>
      </c>
      <c r="C1640" t="s">
        <v>13</v>
      </c>
      <c r="D1640" t="s">
        <v>1145</v>
      </c>
      <c r="E1640" t="s">
        <v>1178</v>
      </c>
      <c r="F1640" t="s">
        <v>796</v>
      </c>
      <c r="G1640" t="str">
        <f>"07785971008"</f>
        <v>07785971008</v>
      </c>
      <c r="I1640" t="s">
        <v>1244</v>
      </c>
      <c r="L1640" t="s">
        <v>41</v>
      </c>
      <c r="M1640">
        <v>1044.83</v>
      </c>
      <c r="AG1640">
        <v>1044.83</v>
      </c>
      <c r="AH1640" s="1">
        <v>41337</v>
      </c>
      <c r="AI1640" s="1">
        <v>41347</v>
      </c>
      <c r="AJ1640" s="1">
        <v>41337</v>
      </c>
    </row>
    <row r="1641" spans="1:36" ht="15">
      <c r="A1641" t="str">
        <f>"4996077D27"</f>
        <v>4996077D27</v>
      </c>
      <c r="B1641" t="str">
        <f t="shared" si="70"/>
        <v>02406911202</v>
      </c>
      <c r="C1641" t="s">
        <v>13</v>
      </c>
      <c r="D1641" t="s">
        <v>1145</v>
      </c>
      <c r="E1641" t="s">
        <v>1186</v>
      </c>
      <c r="F1641" t="s">
        <v>796</v>
      </c>
      <c r="G1641" t="str">
        <f>"02081881209"</f>
        <v>02081881209</v>
      </c>
      <c r="I1641" t="s">
        <v>228</v>
      </c>
      <c r="L1641" t="s">
        <v>41</v>
      </c>
      <c r="M1641">
        <v>8656.56</v>
      </c>
      <c r="AG1641">
        <v>0</v>
      </c>
      <c r="AH1641" s="1">
        <v>41345</v>
      </c>
      <c r="AI1641" s="1">
        <v>41355</v>
      </c>
      <c r="AJ1641" s="1">
        <v>41345</v>
      </c>
    </row>
    <row r="1642" spans="1:36" ht="15">
      <c r="A1642" t="str">
        <f>"4997258BBF"</f>
        <v>4997258BBF</v>
      </c>
      <c r="B1642" t="str">
        <f t="shared" si="70"/>
        <v>02406911202</v>
      </c>
      <c r="C1642" t="s">
        <v>13</v>
      </c>
      <c r="D1642" t="s">
        <v>1145</v>
      </c>
      <c r="E1642" t="s">
        <v>1173</v>
      </c>
      <c r="F1642" t="s">
        <v>796</v>
      </c>
      <c r="G1642" t="str">
        <f>"02089271205"</f>
        <v>02089271205</v>
      </c>
      <c r="I1642" t="s">
        <v>1245</v>
      </c>
      <c r="L1642" t="s">
        <v>41</v>
      </c>
      <c r="M1642">
        <v>2900</v>
      </c>
      <c r="AG1642">
        <v>2900</v>
      </c>
      <c r="AH1642" s="1">
        <v>41346</v>
      </c>
      <c r="AI1642" s="1">
        <v>41356</v>
      </c>
      <c r="AJ1642" s="1">
        <v>41346</v>
      </c>
    </row>
    <row r="1643" spans="1:36" ht="15">
      <c r="A1643" t="str">
        <f>"5007687A08"</f>
        <v>5007687A08</v>
      </c>
      <c r="B1643" t="str">
        <f t="shared" si="70"/>
        <v>02406911202</v>
      </c>
      <c r="C1643" t="s">
        <v>13</v>
      </c>
      <c r="D1643" t="s">
        <v>1145</v>
      </c>
      <c r="E1643" t="s">
        <v>1148</v>
      </c>
      <c r="F1643" t="s">
        <v>796</v>
      </c>
      <c r="G1643" t="str">
        <f>"03663500969"</f>
        <v>03663500969</v>
      </c>
      <c r="I1643" t="s">
        <v>46</v>
      </c>
      <c r="L1643" t="s">
        <v>41</v>
      </c>
      <c r="M1643">
        <v>12560</v>
      </c>
      <c r="AG1643">
        <v>12560</v>
      </c>
      <c r="AH1643" s="1">
        <v>41351</v>
      </c>
      <c r="AI1643" s="1">
        <v>41361</v>
      </c>
      <c r="AJ1643" s="1">
        <v>41351</v>
      </c>
    </row>
    <row r="1644" spans="1:36" ht="15">
      <c r="A1644" t="str">
        <f>"50119518CC"</f>
        <v>50119518CC</v>
      </c>
      <c r="B1644" t="str">
        <f t="shared" si="70"/>
        <v>02406911202</v>
      </c>
      <c r="C1644" t="s">
        <v>13</v>
      </c>
      <c r="D1644" t="s">
        <v>1145</v>
      </c>
      <c r="E1644" t="s">
        <v>1246</v>
      </c>
      <c r="F1644" t="s">
        <v>796</v>
      </c>
      <c r="G1644" t="str">
        <f>"00580151207"</f>
        <v>00580151207</v>
      </c>
      <c r="I1644" t="s">
        <v>1247</v>
      </c>
      <c r="L1644" t="s">
        <v>41</v>
      </c>
      <c r="M1644">
        <v>3321</v>
      </c>
      <c r="AG1644">
        <v>3321</v>
      </c>
      <c r="AH1644" s="1">
        <v>41352</v>
      </c>
      <c r="AI1644" s="1">
        <v>41362</v>
      </c>
      <c r="AJ1644" s="1">
        <v>41352</v>
      </c>
    </row>
    <row r="1645" spans="1:36" ht="15">
      <c r="A1645" t="str">
        <f>"5015757D9A"</f>
        <v>5015757D9A</v>
      </c>
      <c r="B1645" t="str">
        <f t="shared" si="70"/>
        <v>02406911202</v>
      </c>
      <c r="C1645" t="s">
        <v>13</v>
      </c>
      <c r="D1645" t="s">
        <v>1145</v>
      </c>
      <c r="E1645" t="s">
        <v>1153</v>
      </c>
      <c r="F1645" t="s">
        <v>796</v>
      </c>
      <c r="G1645" t="str">
        <f>"03878640238"</f>
        <v>03878640238</v>
      </c>
      <c r="I1645" t="s">
        <v>1248</v>
      </c>
      <c r="L1645" t="s">
        <v>41</v>
      </c>
      <c r="M1645">
        <v>2886.4</v>
      </c>
      <c r="AG1645">
        <v>2886.4</v>
      </c>
      <c r="AH1645" s="1">
        <v>41354</v>
      </c>
      <c r="AI1645" s="1">
        <v>41557</v>
      </c>
      <c r="AJ1645" s="1">
        <v>41354</v>
      </c>
    </row>
    <row r="1646" spans="1:36" ht="15">
      <c r="A1646" t="str">
        <f>"50215981C3"</f>
        <v>50215981C3</v>
      </c>
      <c r="B1646" t="str">
        <f t="shared" si="70"/>
        <v>02406911202</v>
      </c>
      <c r="C1646" t="s">
        <v>13</v>
      </c>
      <c r="D1646" t="s">
        <v>1145</v>
      </c>
      <c r="E1646" t="s">
        <v>1170</v>
      </c>
      <c r="F1646" t="s">
        <v>796</v>
      </c>
      <c r="G1646" t="str">
        <f>"04585871009"</f>
        <v>04585871009</v>
      </c>
      <c r="I1646" t="s">
        <v>1172</v>
      </c>
      <c r="L1646" t="s">
        <v>41</v>
      </c>
      <c r="M1646">
        <v>8383.25</v>
      </c>
      <c r="AG1646">
        <v>8383.25</v>
      </c>
      <c r="AH1646" s="1">
        <v>41361</v>
      </c>
      <c r="AI1646" s="1">
        <v>41508</v>
      </c>
      <c r="AJ1646" s="1">
        <v>41361</v>
      </c>
    </row>
    <row r="1647" spans="1:36" ht="15">
      <c r="A1647" t="str">
        <f>"5037683B83"</f>
        <v>5037683B83</v>
      </c>
      <c r="B1647" t="str">
        <f t="shared" si="70"/>
        <v>02406911202</v>
      </c>
      <c r="C1647" t="s">
        <v>13</v>
      </c>
      <c r="D1647" t="s">
        <v>1145</v>
      </c>
      <c r="E1647" t="s">
        <v>1249</v>
      </c>
      <c r="F1647" t="s">
        <v>796</v>
      </c>
      <c r="G1647" t="str">
        <f>"01647890209"</f>
        <v>01647890209</v>
      </c>
      <c r="I1647" t="s">
        <v>246</v>
      </c>
      <c r="L1647" t="s">
        <v>41</v>
      </c>
      <c r="M1647">
        <v>132</v>
      </c>
      <c r="AG1647">
        <v>132</v>
      </c>
      <c r="AH1647" s="1">
        <v>41366</v>
      </c>
      <c r="AI1647" s="1">
        <v>41376</v>
      </c>
      <c r="AJ1647" s="1">
        <v>41366</v>
      </c>
    </row>
    <row r="1648" spans="1:36" ht="15">
      <c r="A1648" t="str">
        <f>"5041795CD7"</f>
        <v>5041795CD7</v>
      </c>
      <c r="B1648" t="str">
        <f t="shared" si="70"/>
        <v>02406911202</v>
      </c>
      <c r="C1648" t="s">
        <v>13</v>
      </c>
      <c r="D1648" t="s">
        <v>1145</v>
      </c>
      <c r="E1648" t="s">
        <v>1153</v>
      </c>
      <c r="F1648" t="s">
        <v>796</v>
      </c>
      <c r="G1648" t="str">
        <f>"06467211006"</f>
        <v>06467211006</v>
      </c>
      <c r="I1648" t="s">
        <v>1192</v>
      </c>
      <c r="L1648" t="s">
        <v>41</v>
      </c>
      <c r="M1648">
        <v>487.75</v>
      </c>
      <c r="AG1648">
        <v>487.75</v>
      </c>
      <c r="AH1648" s="1">
        <v>41380</v>
      </c>
      <c r="AI1648" s="1">
        <v>41390</v>
      </c>
      <c r="AJ1648" s="1">
        <v>41380</v>
      </c>
    </row>
    <row r="1649" spans="1:36" ht="15">
      <c r="A1649" t="str">
        <f>"50431635C2"</f>
        <v>50431635C2</v>
      </c>
      <c r="B1649" t="str">
        <f t="shared" si="70"/>
        <v>02406911202</v>
      </c>
      <c r="C1649" t="s">
        <v>13</v>
      </c>
      <c r="D1649" t="s">
        <v>1145</v>
      </c>
      <c r="E1649" t="s">
        <v>1170</v>
      </c>
      <c r="F1649" t="s">
        <v>796</v>
      </c>
      <c r="G1649" t="str">
        <f>"01383490354"</f>
        <v>01383490354</v>
      </c>
      <c r="I1649" t="s">
        <v>627</v>
      </c>
      <c r="L1649" t="s">
        <v>41</v>
      </c>
      <c r="M1649">
        <v>14441</v>
      </c>
      <c r="AG1649">
        <v>14441</v>
      </c>
      <c r="AH1649" s="1">
        <v>41368</v>
      </c>
      <c r="AI1649" s="1">
        <v>41378</v>
      </c>
      <c r="AJ1649" s="1">
        <v>41368</v>
      </c>
    </row>
    <row r="1650" spans="1:36" ht="15">
      <c r="A1650" t="str">
        <f>"50617006F9"</f>
        <v>50617006F9</v>
      </c>
      <c r="B1650" t="str">
        <f t="shared" si="70"/>
        <v>02406911202</v>
      </c>
      <c r="C1650" t="s">
        <v>13</v>
      </c>
      <c r="D1650" t="s">
        <v>1145</v>
      </c>
      <c r="E1650" t="s">
        <v>1152</v>
      </c>
      <c r="F1650" t="s">
        <v>796</v>
      </c>
      <c r="G1650" t="str">
        <f>"01486330309"</f>
        <v>01486330309</v>
      </c>
      <c r="I1650" t="s">
        <v>1196</v>
      </c>
      <c r="L1650" t="s">
        <v>41</v>
      </c>
      <c r="M1650">
        <v>2960.42</v>
      </c>
      <c r="AG1650">
        <v>2960.42</v>
      </c>
      <c r="AH1650" s="1">
        <v>41380</v>
      </c>
      <c r="AI1650" s="1">
        <v>41627</v>
      </c>
      <c r="AJ1650" s="1">
        <v>41380</v>
      </c>
    </row>
    <row r="1651" spans="1:36" ht="15">
      <c r="A1651" t="str">
        <f>"5063181D20"</f>
        <v>5063181D20</v>
      </c>
      <c r="B1651" t="str">
        <f t="shared" si="70"/>
        <v>02406911202</v>
      </c>
      <c r="C1651" t="s">
        <v>13</v>
      </c>
      <c r="D1651" t="s">
        <v>1145</v>
      </c>
      <c r="E1651" t="s">
        <v>1249</v>
      </c>
      <c r="F1651" t="s">
        <v>796</v>
      </c>
      <c r="G1651" t="str">
        <f>"03551890373"</f>
        <v>03551890373</v>
      </c>
      <c r="I1651" t="s">
        <v>1166</v>
      </c>
      <c r="L1651" t="s">
        <v>41</v>
      </c>
      <c r="M1651">
        <v>79</v>
      </c>
      <c r="AG1651">
        <v>79</v>
      </c>
      <c r="AH1651" s="1">
        <v>41376</v>
      </c>
      <c r="AI1651" s="1">
        <v>41386</v>
      </c>
      <c r="AJ1651" s="1">
        <v>41376</v>
      </c>
    </row>
    <row r="1652" spans="1:36" ht="15">
      <c r="A1652" t="str">
        <f>"5064458AF1"</f>
        <v>5064458AF1</v>
      </c>
      <c r="B1652" t="str">
        <f t="shared" si="70"/>
        <v>02406911202</v>
      </c>
      <c r="C1652" t="s">
        <v>13</v>
      </c>
      <c r="D1652" t="s">
        <v>1145</v>
      </c>
      <c r="E1652" t="s">
        <v>1250</v>
      </c>
      <c r="F1652" t="s">
        <v>796</v>
      </c>
      <c r="G1652" t="str">
        <f>"08539010010"</f>
        <v>08539010010</v>
      </c>
      <c r="I1652" t="s">
        <v>1251</v>
      </c>
      <c r="L1652" t="s">
        <v>41</v>
      </c>
      <c r="M1652">
        <v>2261</v>
      </c>
      <c r="AG1652">
        <v>2008.33</v>
      </c>
      <c r="AH1652" s="1">
        <v>41444</v>
      </c>
      <c r="AI1652" s="1">
        <v>41634</v>
      </c>
      <c r="AJ1652" s="1">
        <v>41444</v>
      </c>
    </row>
    <row r="1653" spans="1:36" ht="15">
      <c r="A1653" t="str">
        <f>"5065720C60"</f>
        <v>5065720C60</v>
      </c>
      <c r="B1653" t="str">
        <f t="shared" si="70"/>
        <v>02406911202</v>
      </c>
      <c r="C1653" t="s">
        <v>13</v>
      </c>
      <c r="D1653" t="s">
        <v>1145</v>
      </c>
      <c r="E1653" t="s">
        <v>1153</v>
      </c>
      <c r="F1653" t="s">
        <v>796</v>
      </c>
      <c r="G1653" t="str">
        <f>"03028550014"</f>
        <v>03028550014</v>
      </c>
      <c r="I1653" t="s">
        <v>1252</v>
      </c>
      <c r="L1653" t="s">
        <v>41</v>
      </c>
      <c r="M1653">
        <v>270</v>
      </c>
      <c r="AG1653">
        <v>270</v>
      </c>
      <c r="AH1653" s="1">
        <v>41382</v>
      </c>
      <c r="AI1653" s="1">
        <v>41392</v>
      </c>
      <c r="AJ1653" s="1">
        <v>41382</v>
      </c>
    </row>
    <row r="1654" spans="1:36" ht="15">
      <c r="A1654" t="str">
        <f>"5072272B42"</f>
        <v>5072272B42</v>
      </c>
      <c r="B1654" t="str">
        <f t="shared" si="70"/>
        <v>02406911202</v>
      </c>
      <c r="C1654" t="s">
        <v>13</v>
      </c>
      <c r="D1654" t="s">
        <v>1145</v>
      </c>
      <c r="E1654" t="s">
        <v>1195</v>
      </c>
      <c r="F1654" t="s">
        <v>796</v>
      </c>
      <c r="G1654" t="str">
        <f>"01408640207"</f>
        <v>01408640207</v>
      </c>
      <c r="I1654" t="s">
        <v>1253</v>
      </c>
      <c r="L1654" t="s">
        <v>41</v>
      </c>
      <c r="M1654">
        <v>730</v>
      </c>
      <c r="AG1654">
        <v>730</v>
      </c>
      <c r="AH1654" s="1">
        <v>41386</v>
      </c>
      <c r="AI1654" s="1">
        <v>41396</v>
      </c>
      <c r="AJ1654" s="1">
        <v>41386</v>
      </c>
    </row>
    <row r="1655" spans="1:36" ht="15">
      <c r="A1655" t="str">
        <f>"5080922D76"</f>
        <v>5080922D76</v>
      </c>
      <c r="B1655" t="str">
        <f t="shared" si="70"/>
        <v>02406911202</v>
      </c>
      <c r="C1655" t="s">
        <v>13</v>
      </c>
      <c r="D1655" t="s">
        <v>1145</v>
      </c>
      <c r="E1655" t="s">
        <v>1158</v>
      </c>
      <c r="F1655" t="s">
        <v>796</v>
      </c>
      <c r="G1655" t="str">
        <f>"04277670370"</f>
        <v>04277670370</v>
      </c>
      <c r="I1655" t="s">
        <v>1254</v>
      </c>
      <c r="L1655" t="s">
        <v>41</v>
      </c>
      <c r="M1655">
        <v>680</v>
      </c>
      <c r="AG1655">
        <v>680</v>
      </c>
      <c r="AH1655" s="1">
        <v>41386</v>
      </c>
      <c r="AI1655" s="1">
        <v>41649</v>
      </c>
      <c r="AJ1655" s="1">
        <v>41386</v>
      </c>
    </row>
    <row r="1656" spans="1:36" ht="15">
      <c r="A1656" t="str">
        <f>"51471499B7"</f>
        <v>51471499B7</v>
      </c>
      <c r="B1656" t="str">
        <f t="shared" si="70"/>
        <v>02406911202</v>
      </c>
      <c r="C1656" t="s">
        <v>13</v>
      </c>
      <c r="D1656" t="s">
        <v>1145</v>
      </c>
      <c r="E1656" t="s">
        <v>1195</v>
      </c>
      <c r="F1656" t="s">
        <v>796</v>
      </c>
      <c r="G1656" t="str">
        <f>"04272801004"</f>
        <v>04272801004</v>
      </c>
      <c r="I1656" t="s">
        <v>1255</v>
      </c>
      <c r="L1656" t="s">
        <v>41</v>
      </c>
      <c r="M1656">
        <v>1586.72</v>
      </c>
      <c r="AG1656">
        <v>1586.72</v>
      </c>
      <c r="AH1656" s="1">
        <v>41421</v>
      </c>
      <c r="AI1656" s="1">
        <v>41466</v>
      </c>
      <c r="AJ1656" s="1">
        <v>41421</v>
      </c>
    </row>
    <row r="1657" spans="1:36" ht="15">
      <c r="A1657" t="str">
        <f>"5160746E4F"</f>
        <v>5160746E4F</v>
      </c>
      <c r="B1657" t="str">
        <f t="shared" si="70"/>
        <v>02406911202</v>
      </c>
      <c r="C1657" t="s">
        <v>13</v>
      </c>
      <c r="D1657" t="s">
        <v>1145</v>
      </c>
      <c r="E1657" t="s">
        <v>1153</v>
      </c>
      <c r="F1657" t="s">
        <v>796</v>
      </c>
      <c r="G1657" t="str">
        <f>"01121130197"</f>
        <v>01121130197</v>
      </c>
      <c r="I1657" t="s">
        <v>1210</v>
      </c>
      <c r="L1657" t="s">
        <v>41</v>
      </c>
      <c r="M1657">
        <v>3128</v>
      </c>
      <c r="AG1657">
        <v>3128</v>
      </c>
      <c r="AH1657" s="1">
        <v>41428</v>
      </c>
      <c r="AI1657" s="1">
        <v>41475</v>
      </c>
      <c r="AJ1657" s="1">
        <v>41428</v>
      </c>
    </row>
    <row r="1658" spans="1:36" ht="15">
      <c r="A1658" t="str">
        <f>"51716325BB"</f>
        <v>51716325BB</v>
      </c>
      <c r="B1658" t="str">
        <f t="shared" si="70"/>
        <v>02406911202</v>
      </c>
      <c r="C1658" t="s">
        <v>13</v>
      </c>
      <c r="D1658" t="s">
        <v>1145</v>
      </c>
      <c r="E1658" t="s">
        <v>1153</v>
      </c>
      <c r="F1658" t="s">
        <v>796</v>
      </c>
      <c r="G1658" t="str">
        <f>"01193630520"</f>
        <v>01193630520</v>
      </c>
      <c r="I1658" t="s">
        <v>1256</v>
      </c>
      <c r="L1658" t="s">
        <v>41</v>
      </c>
      <c r="M1658">
        <v>6260.53</v>
      </c>
      <c r="AG1658">
        <v>6260.53</v>
      </c>
      <c r="AH1658" s="1">
        <v>41449</v>
      </c>
      <c r="AI1658" s="1">
        <v>41606</v>
      </c>
      <c r="AJ1658" s="1">
        <v>41449</v>
      </c>
    </row>
    <row r="1659" spans="1:36" ht="15">
      <c r="A1659" t="str">
        <f>"5174956CC6"</f>
        <v>5174956CC6</v>
      </c>
      <c r="B1659" t="str">
        <f t="shared" si="70"/>
        <v>02406911202</v>
      </c>
      <c r="C1659" t="s">
        <v>13</v>
      </c>
      <c r="D1659" t="s">
        <v>1145</v>
      </c>
      <c r="E1659" t="s">
        <v>1146</v>
      </c>
      <c r="F1659" t="s">
        <v>796</v>
      </c>
      <c r="G1659" t="str">
        <f>"01035310414"</f>
        <v>01035310414</v>
      </c>
      <c r="I1659" t="s">
        <v>1235</v>
      </c>
      <c r="L1659" t="s">
        <v>41</v>
      </c>
      <c r="M1659">
        <v>717.5</v>
      </c>
      <c r="AG1659">
        <v>717.5</v>
      </c>
      <c r="AH1659" s="1">
        <v>41435</v>
      </c>
      <c r="AI1659" s="1">
        <v>41649</v>
      </c>
      <c r="AJ1659" s="1">
        <v>41435</v>
      </c>
    </row>
    <row r="1660" spans="1:36" ht="15">
      <c r="A1660" t="str">
        <f>"517950678F"</f>
        <v>517950678F</v>
      </c>
      <c r="B1660" t="str">
        <f t="shared" si="70"/>
        <v>02406911202</v>
      </c>
      <c r="C1660" t="s">
        <v>13</v>
      </c>
      <c r="D1660" t="s">
        <v>1145</v>
      </c>
      <c r="E1660" t="s">
        <v>1257</v>
      </c>
      <c r="F1660" t="s">
        <v>796</v>
      </c>
      <c r="G1660" t="str">
        <f>"02196721209"</f>
        <v>02196721209</v>
      </c>
      <c r="I1660" t="s">
        <v>1240</v>
      </c>
      <c r="L1660" t="s">
        <v>41</v>
      </c>
      <c r="M1660">
        <v>1500</v>
      </c>
      <c r="AG1660">
        <v>1500</v>
      </c>
      <c r="AH1660" s="1">
        <v>41437</v>
      </c>
      <c r="AI1660" s="1">
        <v>41447</v>
      </c>
      <c r="AJ1660" s="1">
        <v>41437</v>
      </c>
    </row>
    <row r="1661" spans="1:36" ht="15">
      <c r="A1661" t="str">
        <f>"5187947D49"</f>
        <v>5187947D49</v>
      </c>
      <c r="B1661" t="str">
        <f t="shared" si="70"/>
        <v>02406911202</v>
      </c>
      <c r="C1661" t="s">
        <v>13</v>
      </c>
      <c r="D1661" t="s">
        <v>1145</v>
      </c>
      <c r="E1661" t="s">
        <v>1170</v>
      </c>
      <c r="F1661" t="s">
        <v>796</v>
      </c>
      <c r="G1661" t="str">
        <f>"12435450155"</f>
        <v>12435450155</v>
      </c>
      <c r="I1661" t="s">
        <v>1198</v>
      </c>
      <c r="L1661" t="s">
        <v>41</v>
      </c>
      <c r="M1661">
        <v>3121</v>
      </c>
      <c r="AG1661">
        <v>3121</v>
      </c>
      <c r="AH1661" s="1">
        <v>41443</v>
      </c>
      <c r="AI1661" s="1">
        <v>41602</v>
      </c>
      <c r="AJ1661" s="1">
        <v>41443</v>
      </c>
    </row>
    <row r="1662" spans="1:36" ht="15">
      <c r="A1662" t="str">
        <f>"5195957F58"</f>
        <v>5195957F58</v>
      </c>
      <c r="B1662" t="str">
        <f t="shared" si="70"/>
        <v>02406911202</v>
      </c>
      <c r="C1662" t="s">
        <v>13</v>
      </c>
      <c r="D1662" t="s">
        <v>1145</v>
      </c>
      <c r="E1662" t="s">
        <v>1153</v>
      </c>
      <c r="F1662" t="s">
        <v>796</v>
      </c>
      <c r="G1662" t="str">
        <f>"00580151207"</f>
        <v>00580151207</v>
      </c>
      <c r="I1662" t="s">
        <v>1247</v>
      </c>
      <c r="L1662" t="s">
        <v>41</v>
      </c>
      <c r="M1662">
        <v>134.19</v>
      </c>
      <c r="AG1662">
        <v>134.19</v>
      </c>
      <c r="AH1662" s="1">
        <v>41445</v>
      </c>
      <c r="AI1662" s="1">
        <v>41455</v>
      </c>
      <c r="AJ1662" s="1">
        <v>41445</v>
      </c>
    </row>
    <row r="1663" spans="1:36" ht="15">
      <c r="A1663" t="str">
        <f>"5196164A2C"</f>
        <v>5196164A2C</v>
      </c>
      <c r="B1663" t="str">
        <f t="shared" si="70"/>
        <v>02406911202</v>
      </c>
      <c r="C1663" t="s">
        <v>13</v>
      </c>
      <c r="D1663" t="s">
        <v>1145</v>
      </c>
      <c r="E1663" t="s">
        <v>1184</v>
      </c>
      <c r="F1663" t="s">
        <v>796</v>
      </c>
      <c r="G1663" t="str">
        <f>"00740430335"</f>
        <v>00740430335</v>
      </c>
      <c r="I1663" t="s">
        <v>1151</v>
      </c>
      <c r="L1663" t="s">
        <v>41</v>
      </c>
      <c r="M1663">
        <v>1610</v>
      </c>
      <c r="AG1663">
        <v>1610</v>
      </c>
      <c r="AH1663" s="1">
        <v>41445</v>
      </c>
      <c r="AI1663" s="1">
        <v>41455</v>
      </c>
      <c r="AJ1663" s="1">
        <v>41445</v>
      </c>
    </row>
    <row r="1664" spans="1:36" ht="15">
      <c r="A1664" t="str">
        <f>"5208421CF7"</f>
        <v>5208421CF7</v>
      </c>
      <c r="B1664" t="str">
        <f t="shared" si="70"/>
        <v>02406911202</v>
      </c>
      <c r="C1664" t="s">
        <v>13</v>
      </c>
      <c r="D1664" t="s">
        <v>1145</v>
      </c>
      <c r="E1664" t="s">
        <v>1186</v>
      </c>
      <c r="F1664" t="s">
        <v>796</v>
      </c>
      <c r="G1664" t="str">
        <f>"03157251202"</f>
        <v>03157251202</v>
      </c>
      <c r="I1664" t="s">
        <v>1258</v>
      </c>
      <c r="L1664" t="s">
        <v>41</v>
      </c>
      <c r="M1664">
        <v>1090.91</v>
      </c>
      <c r="AG1664">
        <v>1090.91</v>
      </c>
      <c r="AH1664" s="1">
        <v>41452</v>
      </c>
      <c r="AI1664" s="1">
        <v>41557</v>
      </c>
      <c r="AJ1664" s="1">
        <v>41452</v>
      </c>
    </row>
    <row r="1665" spans="1:36" ht="15">
      <c r="A1665" t="str">
        <f>"523481954B"</f>
        <v>523481954B</v>
      </c>
      <c r="B1665" t="str">
        <f t="shared" si="70"/>
        <v>02406911202</v>
      </c>
      <c r="C1665" t="s">
        <v>13</v>
      </c>
      <c r="D1665" t="s">
        <v>1145</v>
      </c>
      <c r="E1665" t="s">
        <v>1153</v>
      </c>
      <c r="F1665" t="s">
        <v>796</v>
      </c>
      <c r="G1665" t="str">
        <f>"01705000212"</f>
        <v>01705000212</v>
      </c>
      <c r="I1665" t="s">
        <v>1179</v>
      </c>
      <c r="L1665" t="s">
        <v>41</v>
      </c>
      <c r="M1665">
        <v>1056</v>
      </c>
      <c r="AG1665">
        <v>1056</v>
      </c>
      <c r="AH1665" s="1">
        <v>41465</v>
      </c>
      <c r="AI1665" s="1">
        <v>41475</v>
      </c>
      <c r="AJ1665" s="1">
        <v>41465</v>
      </c>
    </row>
    <row r="1666" spans="1:36" ht="15">
      <c r="A1666" t="str">
        <f>"5237698D1C"</f>
        <v>5237698D1C</v>
      </c>
      <c r="B1666" t="str">
        <f aca="true" t="shared" si="71" ref="B1666:B1729">"02406911202"</f>
        <v>02406911202</v>
      </c>
      <c r="C1666" t="s">
        <v>13</v>
      </c>
      <c r="D1666" t="s">
        <v>1145</v>
      </c>
      <c r="E1666" t="s">
        <v>1178</v>
      </c>
      <c r="F1666" t="s">
        <v>796</v>
      </c>
      <c r="G1666" t="str">
        <f>"09234221001"</f>
        <v>09234221001</v>
      </c>
      <c r="I1666" t="s">
        <v>1154</v>
      </c>
      <c r="L1666" t="s">
        <v>41</v>
      </c>
      <c r="M1666">
        <v>991</v>
      </c>
      <c r="AG1666">
        <v>991</v>
      </c>
      <c r="AH1666" s="1">
        <v>41466</v>
      </c>
      <c r="AI1666" s="1">
        <v>41476</v>
      </c>
      <c r="AJ1666" s="1">
        <v>41466</v>
      </c>
    </row>
    <row r="1667" spans="1:36" ht="15">
      <c r="A1667" t="str">
        <f>"5278256AA2"</f>
        <v>5278256AA2</v>
      </c>
      <c r="B1667" t="str">
        <f t="shared" si="71"/>
        <v>02406911202</v>
      </c>
      <c r="C1667" t="s">
        <v>13</v>
      </c>
      <c r="D1667" t="s">
        <v>1145</v>
      </c>
      <c r="E1667" t="s">
        <v>1152</v>
      </c>
      <c r="F1667" t="s">
        <v>796</v>
      </c>
      <c r="G1667" t="str">
        <f>"02376321200"</f>
        <v>02376321200</v>
      </c>
      <c r="I1667" t="s">
        <v>1225</v>
      </c>
      <c r="L1667" t="s">
        <v>41</v>
      </c>
      <c r="M1667">
        <v>1110</v>
      </c>
      <c r="AG1667">
        <v>1110</v>
      </c>
      <c r="AH1667" s="1">
        <v>41491</v>
      </c>
      <c r="AI1667" s="1">
        <v>41638</v>
      </c>
      <c r="AJ1667" s="1">
        <v>41491</v>
      </c>
    </row>
    <row r="1668" spans="1:36" ht="15">
      <c r="A1668" t="str">
        <f>"5278411A8B"</f>
        <v>5278411A8B</v>
      </c>
      <c r="B1668" t="str">
        <f t="shared" si="71"/>
        <v>02406911202</v>
      </c>
      <c r="C1668" t="s">
        <v>13</v>
      </c>
      <c r="D1668" t="s">
        <v>1145</v>
      </c>
      <c r="E1668" t="s">
        <v>1170</v>
      </c>
      <c r="F1668" t="s">
        <v>796</v>
      </c>
      <c r="G1668" t="str">
        <f>"02879420962"</f>
        <v>02879420962</v>
      </c>
      <c r="I1668" t="s">
        <v>1259</v>
      </c>
      <c r="L1668" t="s">
        <v>41</v>
      </c>
      <c r="M1668">
        <v>2065</v>
      </c>
      <c r="AG1668">
        <v>2065</v>
      </c>
      <c r="AH1668" s="1">
        <v>41471</v>
      </c>
      <c r="AI1668" s="1">
        <v>41586</v>
      </c>
      <c r="AJ1668" s="1">
        <v>41471</v>
      </c>
    </row>
    <row r="1669" spans="1:36" ht="15">
      <c r="A1669" t="str">
        <f>"5278430A39"</f>
        <v>5278430A39</v>
      </c>
      <c r="B1669" t="str">
        <f t="shared" si="71"/>
        <v>02406911202</v>
      </c>
      <c r="C1669" t="s">
        <v>13</v>
      </c>
      <c r="D1669" t="s">
        <v>1145</v>
      </c>
      <c r="E1669" t="s">
        <v>1178</v>
      </c>
      <c r="F1669" t="s">
        <v>796</v>
      </c>
      <c r="G1669" t="str">
        <f>"02376321200"</f>
        <v>02376321200</v>
      </c>
      <c r="I1669" t="s">
        <v>1225</v>
      </c>
      <c r="L1669" t="s">
        <v>41</v>
      </c>
      <c r="M1669">
        <v>2400</v>
      </c>
      <c r="AG1669">
        <v>2400</v>
      </c>
      <c r="AH1669" s="1">
        <v>41472</v>
      </c>
      <c r="AI1669" s="1">
        <v>41586</v>
      </c>
      <c r="AJ1669" s="1">
        <v>41472</v>
      </c>
    </row>
    <row r="1670" spans="1:36" ht="15">
      <c r="A1670" t="str">
        <f>"528311653D"</f>
        <v>528311653D</v>
      </c>
      <c r="B1670" t="str">
        <f t="shared" si="71"/>
        <v>02406911202</v>
      </c>
      <c r="C1670" t="s">
        <v>13</v>
      </c>
      <c r="D1670" t="s">
        <v>1145</v>
      </c>
      <c r="E1670" t="s">
        <v>1178</v>
      </c>
      <c r="F1670" t="s">
        <v>796</v>
      </c>
      <c r="G1670" t="str">
        <f>"00293600938"</f>
        <v>00293600938</v>
      </c>
      <c r="I1670" t="s">
        <v>1260</v>
      </c>
      <c r="L1670" t="s">
        <v>41</v>
      </c>
      <c r="M1670">
        <v>1679</v>
      </c>
      <c r="AG1670">
        <v>1679</v>
      </c>
      <c r="AH1670" s="1">
        <v>41513</v>
      </c>
      <c r="AI1670" s="1">
        <v>41523</v>
      </c>
      <c r="AJ1670" s="1">
        <v>41513</v>
      </c>
    </row>
    <row r="1671" spans="1:36" ht="15">
      <c r="A1671" t="str">
        <f>"5284560CDB"</f>
        <v>5284560CDB</v>
      </c>
      <c r="B1671" t="str">
        <f t="shared" si="71"/>
        <v>02406911202</v>
      </c>
      <c r="C1671" t="s">
        <v>13</v>
      </c>
      <c r="D1671" t="s">
        <v>1145</v>
      </c>
      <c r="E1671" t="s">
        <v>1170</v>
      </c>
      <c r="F1671" t="s">
        <v>796</v>
      </c>
      <c r="G1671" t="str">
        <f>"03878640238"</f>
        <v>03878640238</v>
      </c>
      <c r="I1671" t="s">
        <v>1248</v>
      </c>
      <c r="L1671" t="s">
        <v>41</v>
      </c>
      <c r="M1671">
        <v>647.4</v>
      </c>
      <c r="AG1671">
        <v>647.4</v>
      </c>
      <c r="AH1671" s="1">
        <v>41498</v>
      </c>
      <c r="AI1671" s="1">
        <v>41508</v>
      </c>
      <c r="AJ1671" s="1">
        <v>41498</v>
      </c>
    </row>
    <row r="1672" spans="1:36" ht="15">
      <c r="A1672" t="str">
        <f>"5284563F54"</f>
        <v>5284563F54</v>
      </c>
      <c r="B1672" t="str">
        <f t="shared" si="71"/>
        <v>02406911202</v>
      </c>
      <c r="C1672" t="s">
        <v>13</v>
      </c>
      <c r="D1672" t="s">
        <v>1145</v>
      </c>
      <c r="E1672" t="s">
        <v>1170</v>
      </c>
      <c r="F1672" t="s">
        <v>796</v>
      </c>
      <c r="G1672" t="str">
        <f>"01170160889"</f>
        <v>01170160889</v>
      </c>
      <c r="I1672" t="s">
        <v>1226</v>
      </c>
      <c r="L1672" t="s">
        <v>41</v>
      </c>
      <c r="M1672">
        <v>4610.2</v>
      </c>
      <c r="AG1672">
        <v>4610.2</v>
      </c>
      <c r="AH1672" s="1">
        <v>41498</v>
      </c>
      <c r="AI1672" s="1">
        <v>41586</v>
      </c>
      <c r="AJ1672" s="1">
        <v>41498</v>
      </c>
    </row>
    <row r="1673" spans="1:36" ht="15">
      <c r="A1673" t="str">
        <f>"52881038A3"</f>
        <v>52881038A3</v>
      </c>
      <c r="B1673" t="str">
        <f t="shared" si="71"/>
        <v>02406911202</v>
      </c>
      <c r="C1673" t="s">
        <v>13</v>
      </c>
      <c r="D1673" t="s">
        <v>1145</v>
      </c>
      <c r="E1673" t="s">
        <v>1200</v>
      </c>
      <c r="F1673" t="s">
        <v>796</v>
      </c>
      <c r="G1673" t="str">
        <f>"02773551201"</f>
        <v>02773551201</v>
      </c>
      <c r="I1673" t="s">
        <v>1261</v>
      </c>
      <c r="L1673" t="s">
        <v>41</v>
      </c>
      <c r="M1673">
        <v>15750</v>
      </c>
      <c r="AG1673">
        <v>15750</v>
      </c>
      <c r="AH1673" s="1">
        <v>41498</v>
      </c>
      <c r="AI1673" s="1">
        <v>41508</v>
      </c>
      <c r="AJ1673" s="1">
        <v>41498</v>
      </c>
    </row>
    <row r="1674" spans="1:36" ht="15">
      <c r="A1674" t="str">
        <f>"5292158AED"</f>
        <v>5292158AED</v>
      </c>
      <c r="B1674" t="str">
        <f t="shared" si="71"/>
        <v>02406911202</v>
      </c>
      <c r="C1674" t="s">
        <v>13</v>
      </c>
      <c r="D1674" t="s">
        <v>1145</v>
      </c>
      <c r="E1674" t="s">
        <v>1173</v>
      </c>
      <c r="F1674" t="s">
        <v>796</v>
      </c>
      <c r="G1674" t="str">
        <f>"10808960016"</f>
        <v>10808960016</v>
      </c>
      <c r="I1674" t="s">
        <v>1262</v>
      </c>
      <c r="L1674" t="s">
        <v>41</v>
      </c>
      <c r="M1674">
        <v>1500</v>
      </c>
      <c r="AG1674">
        <v>1500</v>
      </c>
      <c r="AH1674" s="1">
        <v>41505</v>
      </c>
      <c r="AI1674" s="1">
        <v>41515</v>
      </c>
      <c r="AJ1674" s="1">
        <v>41505</v>
      </c>
    </row>
    <row r="1675" spans="1:36" ht="15">
      <c r="A1675" t="str">
        <f>"52975669C0"</f>
        <v>52975669C0</v>
      </c>
      <c r="B1675" t="str">
        <f t="shared" si="71"/>
        <v>02406911202</v>
      </c>
      <c r="C1675" t="s">
        <v>13</v>
      </c>
      <c r="D1675" t="s">
        <v>1145</v>
      </c>
      <c r="E1675" t="s">
        <v>1153</v>
      </c>
      <c r="F1675" t="s">
        <v>796</v>
      </c>
      <c r="G1675" t="str">
        <f>"08376630151"</f>
        <v>08376630151</v>
      </c>
      <c r="I1675" t="s">
        <v>1208</v>
      </c>
      <c r="L1675" t="s">
        <v>41</v>
      </c>
      <c r="M1675">
        <v>2945.8</v>
      </c>
      <c r="AG1675">
        <v>2945.8</v>
      </c>
      <c r="AH1675" s="1">
        <v>41513</v>
      </c>
      <c r="AI1675" s="1">
        <v>41606</v>
      </c>
      <c r="AJ1675" s="1">
        <v>41513</v>
      </c>
    </row>
    <row r="1676" spans="1:36" ht="15">
      <c r="A1676" t="str">
        <f>"5297573F85"</f>
        <v>5297573F85</v>
      </c>
      <c r="B1676" t="str">
        <f t="shared" si="71"/>
        <v>02406911202</v>
      </c>
      <c r="C1676" t="s">
        <v>13</v>
      </c>
      <c r="D1676" t="s">
        <v>1145</v>
      </c>
      <c r="E1676" t="s">
        <v>1153</v>
      </c>
      <c r="F1676" t="s">
        <v>796</v>
      </c>
      <c r="G1676" t="str">
        <f>"05346711004"</f>
        <v>05346711004</v>
      </c>
      <c r="I1676" t="s">
        <v>1263</v>
      </c>
      <c r="L1676" t="s">
        <v>41</v>
      </c>
      <c r="M1676">
        <v>489.6</v>
      </c>
      <c r="AG1676">
        <v>489.6</v>
      </c>
      <c r="AH1676" s="1">
        <v>41515</v>
      </c>
      <c r="AI1676" s="1">
        <v>41525</v>
      </c>
      <c r="AJ1676" s="1">
        <v>41515</v>
      </c>
    </row>
    <row r="1677" spans="1:36" ht="15">
      <c r="A1677" t="str">
        <f>"52975826F5"</f>
        <v>52975826F5</v>
      </c>
      <c r="B1677" t="str">
        <f t="shared" si="71"/>
        <v>02406911202</v>
      </c>
      <c r="C1677" t="s">
        <v>13</v>
      </c>
      <c r="D1677" t="s">
        <v>1145</v>
      </c>
      <c r="E1677" t="s">
        <v>1153</v>
      </c>
      <c r="F1677" t="s">
        <v>796</v>
      </c>
      <c r="G1677" t="str">
        <f>"01538680685"</f>
        <v>01538680685</v>
      </c>
      <c r="I1677" t="s">
        <v>1264</v>
      </c>
      <c r="L1677" t="s">
        <v>41</v>
      </c>
      <c r="M1677">
        <v>447</v>
      </c>
      <c r="AG1677">
        <v>447</v>
      </c>
      <c r="AH1677" s="1">
        <v>41514</v>
      </c>
      <c r="AI1677" s="1">
        <v>41524</v>
      </c>
      <c r="AJ1677" s="1">
        <v>41514</v>
      </c>
    </row>
    <row r="1678" spans="1:36" ht="15">
      <c r="A1678" t="str">
        <f>"5297589CBA"</f>
        <v>5297589CBA</v>
      </c>
      <c r="B1678" t="str">
        <f t="shared" si="71"/>
        <v>02406911202</v>
      </c>
      <c r="C1678" t="s">
        <v>13</v>
      </c>
      <c r="D1678" t="s">
        <v>1145</v>
      </c>
      <c r="E1678" t="s">
        <v>1153</v>
      </c>
      <c r="F1678" t="s">
        <v>796</v>
      </c>
      <c r="G1678" t="str">
        <f>"01486330309"</f>
        <v>01486330309</v>
      </c>
      <c r="I1678" t="s">
        <v>1196</v>
      </c>
      <c r="L1678" t="s">
        <v>41</v>
      </c>
      <c r="M1678">
        <v>360</v>
      </c>
      <c r="AG1678">
        <v>360</v>
      </c>
      <c r="AH1678" s="1">
        <v>41513</v>
      </c>
      <c r="AI1678" s="1">
        <v>41523</v>
      </c>
      <c r="AJ1678" s="1">
        <v>41513</v>
      </c>
    </row>
    <row r="1679" spans="1:36" ht="15">
      <c r="A1679" t="str">
        <f>"5297590D8D"</f>
        <v>5297590D8D</v>
      </c>
      <c r="B1679" t="str">
        <f t="shared" si="71"/>
        <v>02406911202</v>
      </c>
      <c r="C1679" t="s">
        <v>13</v>
      </c>
      <c r="D1679" t="s">
        <v>1145</v>
      </c>
      <c r="E1679" t="s">
        <v>1170</v>
      </c>
      <c r="F1679" t="s">
        <v>796</v>
      </c>
      <c r="G1679" t="str">
        <f>"01121130197"</f>
        <v>01121130197</v>
      </c>
      <c r="I1679" t="s">
        <v>1210</v>
      </c>
      <c r="L1679" t="s">
        <v>41</v>
      </c>
      <c r="M1679">
        <v>506.89</v>
      </c>
      <c r="AG1679">
        <v>506.89</v>
      </c>
      <c r="AH1679" s="1">
        <v>41513</v>
      </c>
      <c r="AI1679" s="1">
        <v>41523</v>
      </c>
      <c r="AJ1679" s="1">
        <v>41513</v>
      </c>
    </row>
    <row r="1680" spans="1:36" ht="15">
      <c r="A1680" t="str">
        <f>"532367104A"</f>
        <v>532367104A</v>
      </c>
      <c r="B1680" t="str">
        <f t="shared" si="71"/>
        <v>02406911202</v>
      </c>
      <c r="C1680" t="s">
        <v>13</v>
      </c>
      <c r="D1680" t="s">
        <v>1145</v>
      </c>
      <c r="E1680" t="s">
        <v>1146</v>
      </c>
      <c r="F1680" t="s">
        <v>796</v>
      </c>
      <c r="G1680" t="str">
        <f>"02047791203"</f>
        <v>02047791203</v>
      </c>
      <c r="I1680" t="s">
        <v>1215</v>
      </c>
      <c r="L1680" t="s">
        <v>41</v>
      </c>
      <c r="M1680">
        <v>2050</v>
      </c>
      <c r="AG1680">
        <v>2050</v>
      </c>
      <c r="AH1680" s="1">
        <v>41530</v>
      </c>
      <c r="AI1680" s="1">
        <v>41540</v>
      </c>
      <c r="AJ1680" s="1">
        <v>41530</v>
      </c>
    </row>
    <row r="1681" spans="1:36" ht="15">
      <c r="A1681" t="str">
        <f>"5330239C5C"</f>
        <v>5330239C5C</v>
      </c>
      <c r="B1681" t="str">
        <f t="shared" si="71"/>
        <v>02406911202</v>
      </c>
      <c r="C1681" t="s">
        <v>13</v>
      </c>
      <c r="D1681" t="s">
        <v>1145</v>
      </c>
      <c r="E1681" t="s">
        <v>1265</v>
      </c>
      <c r="F1681" t="s">
        <v>796</v>
      </c>
      <c r="G1681" t="str">
        <f>"00942914021"</f>
        <v>00942914021</v>
      </c>
      <c r="I1681" t="s">
        <v>1266</v>
      </c>
      <c r="L1681" t="s">
        <v>41</v>
      </c>
      <c r="M1681">
        <v>14975.8</v>
      </c>
      <c r="AG1681">
        <v>14975.8</v>
      </c>
      <c r="AH1681" s="1">
        <v>41535</v>
      </c>
      <c r="AI1681" s="1">
        <v>41545</v>
      </c>
      <c r="AJ1681" s="1">
        <v>41535</v>
      </c>
    </row>
    <row r="1682" spans="1:36" ht="15">
      <c r="A1682" t="str">
        <f>"5338774FA9"</f>
        <v>5338774FA9</v>
      </c>
      <c r="B1682" t="str">
        <f t="shared" si="71"/>
        <v>02406911202</v>
      </c>
      <c r="C1682" t="s">
        <v>13</v>
      </c>
      <c r="D1682" t="s">
        <v>1145</v>
      </c>
      <c r="E1682" t="s">
        <v>1170</v>
      </c>
      <c r="F1682" t="s">
        <v>796</v>
      </c>
      <c r="G1682" t="str">
        <f>"00740430335"</f>
        <v>00740430335</v>
      </c>
      <c r="I1682" t="s">
        <v>1151</v>
      </c>
      <c r="L1682" t="s">
        <v>41</v>
      </c>
      <c r="M1682">
        <v>2161</v>
      </c>
      <c r="AG1682">
        <v>2161</v>
      </c>
      <c r="AH1682" s="1">
        <v>41541</v>
      </c>
      <c r="AI1682" s="1">
        <v>41551</v>
      </c>
      <c r="AJ1682" s="1">
        <v>41541</v>
      </c>
    </row>
    <row r="1683" spans="1:36" ht="15">
      <c r="A1683" t="str">
        <f>"5344532F50"</f>
        <v>5344532F50</v>
      </c>
      <c r="B1683" t="str">
        <f t="shared" si="71"/>
        <v>02406911202</v>
      </c>
      <c r="C1683" t="s">
        <v>13</v>
      </c>
      <c r="D1683" t="s">
        <v>1145</v>
      </c>
      <c r="E1683" t="s">
        <v>1153</v>
      </c>
      <c r="F1683" t="s">
        <v>796</v>
      </c>
      <c r="G1683" t="str">
        <f>"02376321200"</f>
        <v>02376321200</v>
      </c>
      <c r="I1683" t="s">
        <v>1225</v>
      </c>
      <c r="L1683" t="s">
        <v>41</v>
      </c>
      <c r="M1683">
        <v>150</v>
      </c>
      <c r="AG1683">
        <v>150</v>
      </c>
      <c r="AH1683" s="1">
        <v>41543</v>
      </c>
      <c r="AI1683" s="1">
        <v>41553</v>
      </c>
      <c r="AJ1683" s="1">
        <v>41543</v>
      </c>
    </row>
    <row r="1684" spans="1:36" ht="15">
      <c r="A1684" t="str">
        <f>"5349257A83"</f>
        <v>5349257A83</v>
      </c>
      <c r="B1684" t="str">
        <f t="shared" si="71"/>
        <v>02406911202</v>
      </c>
      <c r="C1684" t="s">
        <v>13</v>
      </c>
      <c r="D1684" t="s">
        <v>1145</v>
      </c>
      <c r="E1684" t="s">
        <v>1182</v>
      </c>
      <c r="F1684" t="s">
        <v>796</v>
      </c>
      <c r="G1684" t="str">
        <f>"02006010165"</f>
        <v>02006010165</v>
      </c>
      <c r="I1684" t="s">
        <v>1163</v>
      </c>
      <c r="L1684" t="s">
        <v>41</v>
      </c>
      <c r="M1684">
        <v>6117</v>
      </c>
      <c r="AG1684">
        <v>6117</v>
      </c>
      <c r="AH1684" s="1">
        <v>41547</v>
      </c>
      <c r="AI1684" s="1">
        <v>41557</v>
      </c>
      <c r="AJ1684" s="1">
        <v>41547</v>
      </c>
    </row>
    <row r="1685" spans="1:36" ht="15">
      <c r="A1685" t="str">
        <f>"5362113B9E"</f>
        <v>5362113B9E</v>
      </c>
      <c r="B1685" t="str">
        <f t="shared" si="71"/>
        <v>02406911202</v>
      </c>
      <c r="C1685" t="s">
        <v>13</v>
      </c>
      <c r="D1685" t="s">
        <v>1145</v>
      </c>
      <c r="E1685" t="s">
        <v>1152</v>
      </c>
      <c r="F1685" t="s">
        <v>796</v>
      </c>
      <c r="G1685" t="str">
        <f>"02986571202"</f>
        <v>02986571202</v>
      </c>
      <c r="I1685" t="s">
        <v>1176</v>
      </c>
      <c r="L1685" t="s">
        <v>41</v>
      </c>
      <c r="M1685">
        <v>5165</v>
      </c>
      <c r="AG1685">
        <v>5165</v>
      </c>
      <c r="AH1685" s="1">
        <v>41554</v>
      </c>
      <c r="AI1685" s="1">
        <v>41564</v>
      </c>
      <c r="AJ1685" s="1">
        <v>41554</v>
      </c>
    </row>
    <row r="1686" spans="1:36" ht="15">
      <c r="A1686" t="str">
        <f>"5377702C11"</f>
        <v>5377702C11</v>
      </c>
      <c r="B1686" t="str">
        <f t="shared" si="71"/>
        <v>02406911202</v>
      </c>
      <c r="C1686" t="s">
        <v>13</v>
      </c>
      <c r="D1686" t="s">
        <v>1145</v>
      </c>
      <c r="E1686" t="s">
        <v>1173</v>
      </c>
      <c r="F1686" t="s">
        <v>796</v>
      </c>
      <c r="G1686" t="str">
        <f>"02986571202"</f>
        <v>02986571202</v>
      </c>
      <c r="I1686" t="s">
        <v>1176</v>
      </c>
      <c r="L1686" t="s">
        <v>41</v>
      </c>
      <c r="M1686">
        <v>1030</v>
      </c>
      <c r="AG1686">
        <v>1030</v>
      </c>
      <c r="AH1686" s="1">
        <v>41561</v>
      </c>
      <c r="AI1686" s="1">
        <v>41571</v>
      </c>
      <c r="AJ1686" s="1">
        <v>41561</v>
      </c>
    </row>
    <row r="1687" spans="1:36" ht="15">
      <c r="A1687" t="str">
        <f>"5388134CD3"</f>
        <v>5388134CD3</v>
      </c>
      <c r="B1687" t="str">
        <f t="shared" si="71"/>
        <v>02406911202</v>
      </c>
      <c r="C1687" t="s">
        <v>13</v>
      </c>
      <c r="D1687" t="s">
        <v>1145</v>
      </c>
      <c r="E1687" t="s">
        <v>1152</v>
      </c>
      <c r="F1687" t="s">
        <v>796</v>
      </c>
      <c r="G1687" t="str">
        <f>"01121130197"</f>
        <v>01121130197</v>
      </c>
      <c r="I1687" t="s">
        <v>1210</v>
      </c>
      <c r="L1687" t="s">
        <v>41</v>
      </c>
      <c r="M1687">
        <v>2018.79</v>
      </c>
      <c r="AG1687">
        <v>0</v>
      </c>
      <c r="AH1687" s="1">
        <v>41576</v>
      </c>
      <c r="AI1687" s="1">
        <v>41586</v>
      </c>
      <c r="AJ1687" s="1">
        <v>41576</v>
      </c>
    </row>
    <row r="1688" spans="1:36" ht="15">
      <c r="A1688" t="str">
        <f>"5394397D37"</f>
        <v>5394397D37</v>
      </c>
      <c r="B1688" t="str">
        <f t="shared" si="71"/>
        <v>02406911202</v>
      </c>
      <c r="C1688" t="s">
        <v>13</v>
      </c>
      <c r="D1688" t="s">
        <v>1145</v>
      </c>
      <c r="E1688" t="s">
        <v>1170</v>
      </c>
      <c r="F1688" t="s">
        <v>796</v>
      </c>
      <c r="G1688" t="str">
        <f>"09588050154"</f>
        <v>09588050154</v>
      </c>
      <c r="I1688" t="s">
        <v>1267</v>
      </c>
      <c r="L1688" t="s">
        <v>41</v>
      </c>
      <c r="M1688">
        <v>12292</v>
      </c>
      <c r="AG1688">
        <v>12292</v>
      </c>
      <c r="AH1688" s="1">
        <v>41576</v>
      </c>
      <c r="AI1688" s="1">
        <v>41613</v>
      </c>
      <c r="AJ1688" s="1">
        <v>41576</v>
      </c>
    </row>
    <row r="1689" spans="1:36" ht="15">
      <c r="A1689" t="str">
        <f>"53944064A7"</f>
        <v>53944064A7</v>
      </c>
      <c r="B1689" t="str">
        <f t="shared" si="71"/>
        <v>02406911202</v>
      </c>
      <c r="C1689" t="s">
        <v>13</v>
      </c>
      <c r="D1689" t="s">
        <v>1145</v>
      </c>
      <c r="E1689" t="s">
        <v>1195</v>
      </c>
      <c r="F1689" t="s">
        <v>796</v>
      </c>
      <c r="G1689" t="str">
        <f>"01193630520"</f>
        <v>01193630520</v>
      </c>
      <c r="I1689" t="s">
        <v>1256</v>
      </c>
      <c r="L1689" t="s">
        <v>41</v>
      </c>
      <c r="M1689">
        <v>864.75</v>
      </c>
      <c r="AG1689">
        <v>864.75</v>
      </c>
      <c r="AH1689" s="1">
        <v>41576</v>
      </c>
      <c r="AI1689" s="1">
        <v>41600</v>
      </c>
      <c r="AJ1689" s="1">
        <v>41576</v>
      </c>
    </row>
    <row r="1690" spans="1:36" ht="15">
      <c r="A1690" t="str">
        <f>"5415684BCE"</f>
        <v>5415684BCE</v>
      </c>
      <c r="B1690" t="str">
        <f t="shared" si="71"/>
        <v>02406911202</v>
      </c>
      <c r="C1690" t="s">
        <v>13</v>
      </c>
      <c r="D1690" t="s">
        <v>1145</v>
      </c>
      <c r="E1690" t="s">
        <v>1178</v>
      </c>
      <c r="F1690" t="s">
        <v>796</v>
      </c>
      <c r="G1690" t="str">
        <f>"01121130197"</f>
        <v>01121130197</v>
      </c>
      <c r="I1690" t="s">
        <v>1210</v>
      </c>
      <c r="L1690" t="s">
        <v>41</v>
      </c>
      <c r="M1690">
        <v>2279.98</v>
      </c>
      <c r="AG1690">
        <v>2279.98</v>
      </c>
      <c r="AH1690" s="1">
        <v>41590</v>
      </c>
      <c r="AI1690" s="1">
        <v>41600</v>
      </c>
      <c r="AJ1690" s="1">
        <v>41590</v>
      </c>
    </row>
    <row r="1691" spans="1:36" ht="15">
      <c r="A1691" t="str">
        <f>"542781891A"</f>
        <v>542781891A</v>
      </c>
      <c r="B1691" t="str">
        <f t="shared" si="71"/>
        <v>02406911202</v>
      </c>
      <c r="C1691" t="s">
        <v>13</v>
      </c>
      <c r="D1691" t="s">
        <v>1145</v>
      </c>
      <c r="E1691" t="s">
        <v>1146</v>
      </c>
      <c r="F1691" t="s">
        <v>796</v>
      </c>
      <c r="G1691" t="str">
        <f>"03551890373"</f>
        <v>03551890373</v>
      </c>
      <c r="I1691" t="s">
        <v>1166</v>
      </c>
      <c r="L1691" t="s">
        <v>41</v>
      </c>
      <c r="M1691">
        <v>2600</v>
      </c>
      <c r="AG1691">
        <v>2600</v>
      </c>
      <c r="AH1691" s="1">
        <v>41589</v>
      </c>
      <c r="AI1691" s="1">
        <v>41599</v>
      </c>
      <c r="AJ1691" s="1">
        <v>41589</v>
      </c>
    </row>
    <row r="1692" spans="1:36" ht="15">
      <c r="A1692" t="str">
        <f>"5430772ED0"</f>
        <v>5430772ED0</v>
      </c>
      <c r="B1692" t="str">
        <f t="shared" si="71"/>
        <v>02406911202</v>
      </c>
      <c r="C1692" t="s">
        <v>13</v>
      </c>
      <c r="D1692" t="s">
        <v>1145</v>
      </c>
      <c r="E1692" t="s">
        <v>1153</v>
      </c>
      <c r="F1692" t="s">
        <v>796</v>
      </c>
      <c r="G1692" t="str">
        <f>"00934261009"</f>
        <v>00934261009</v>
      </c>
      <c r="I1692" t="s">
        <v>1268</v>
      </c>
      <c r="L1692" t="s">
        <v>41</v>
      </c>
      <c r="M1692">
        <v>1532.4</v>
      </c>
      <c r="AG1692">
        <v>1532.4</v>
      </c>
      <c r="AH1692" s="1">
        <v>41590</v>
      </c>
      <c r="AI1692" s="1">
        <v>41649</v>
      </c>
      <c r="AJ1692" s="1">
        <v>41590</v>
      </c>
    </row>
    <row r="1693" spans="1:36" ht="15">
      <c r="A1693" t="str">
        <f>"543778387B"</f>
        <v>543778387B</v>
      </c>
      <c r="B1693" t="str">
        <f t="shared" si="71"/>
        <v>02406911202</v>
      </c>
      <c r="C1693" t="s">
        <v>13</v>
      </c>
      <c r="D1693" t="s">
        <v>1145</v>
      </c>
      <c r="E1693" t="s">
        <v>1152</v>
      </c>
      <c r="F1693" t="s">
        <v>796</v>
      </c>
      <c r="G1693" t="str">
        <f>"04232600371"</f>
        <v>04232600371</v>
      </c>
      <c r="I1693" t="s">
        <v>1269</v>
      </c>
      <c r="L1693" t="s">
        <v>41</v>
      </c>
      <c r="M1693">
        <v>1428.99</v>
      </c>
      <c r="AG1693">
        <v>1428.99</v>
      </c>
      <c r="AH1693" s="1">
        <v>41603</v>
      </c>
      <c r="AI1693" s="1">
        <v>41638</v>
      </c>
      <c r="AJ1693" s="1">
        <v>41603</v>
      </c>
    </row>
    <row r="1694" spans="1:36" ht="15">
      <c r="A1694" t="str">
        <f>"5445136C5D"</f>
        <v>5445136C5D</v>
      </c>
      <c r="B1694" t="str">
        <f t="shared" si="71"/>
        <v>02406911202</v>
      </c>
      <c r="C1694" t="s">
        <v>13</v>
      </c>
      <c r="D1694" t="s">
        <v>1145</v>
      </c>
      <c r="E1694" t="s">
        <v>1173</v>
      </c>
      <c r="F1694" t="s">
        <v>796</v>
      </c>
      <c r="G1694" t="str">
        <f>"01944260221"</f>
        <v>01944260221</v>
      </c>
      <c r="I1694" t="s">
        <v>238</v>
      </c>
      <c r="L1694" t="s">
        <v>41</v>
      </c>
      <c r="M1694">
        <v>11900</v>
      </c>
      <c r="AG1694">
        <v>10740</v>
      </c>
      <c r="AH1694" s="1">
        <v>41603</v>
      </c>
      <c r="AI1694" s="1">
        <v>41613</v>
      </c>
      <c r="AJ1694" s="1">
        <v>41603</v>
      </c>
    </row>
    <row r="1695" spans="1:36" ht="15">
      <c r="A1695" t="str">
        <f>"5445155C0B"</f>
        <v>5445155C0B</v>
      </c>
      <c r="B1695" t="str">
        <f t="shared" si="71"/>
        <v>02406911202</v>
      </c>
      <c r="C1695" t="s">
        <v>13</v>
      </c>
      <c r="D1695" t="s">
        <v>1145</v>
      </c>
      <c r="E1695" t="s">
        <v>1249</v>
      </c>
      <c r="F1695" t="s">
        <v>796</v>
      </c>
      <c r="G1695" t="str">
        <f>"06758670969"</f>
        <v>06758670969</v>
      </c>
      <c r="I1695" t="s">
        <v>1270</v>
      </c>
      <c r="L1695" t="s">
        <v>41</v>
      </c>
      <c r="M1695">
        <v>90</v>
      </c>
      <c r="AG1695">
        <v>90</v>
      </c>
      <c r="AH1695" s="1">
        <v>41597</v>
      </c>
      <c r="AI1695" s="1">
        <v>41607</v>
      </c>
      <c r="AJ1695" s="1">
        <v>41597</v>
      </c>
    </row>
    <row r="1696" spans="1:36" ht="15">
      <c r="A1696" t="str">
        <f>"54453057D5"</f>
        <v>54453057D5</v>
      </c>
      <c r="B1696" t="str">
        <f t="shared" si="71"/>
        <v>02406911202</v>
      </c>
      <c r="C1696" t="s">
        <v>13</v>
      </c>
      <c r="D1696" t="s">
        <v>1145</v>
      </c>
      <c r="E1696" t="s">
        <v>1271</v>
      </c>
      <c r="F1696" t="s">
        <v>796</v>
      </c>
      <c r="G1696" t="str">
        <f>"02104660358"</f>
        <v>02104660358</v>
      </c>
      <c r="I1696" t="s">
        <v>1272</v>
      </c>
      <c r="L1696" t="s">
        <v>41</v>
      </c>
      <c r="M1696">
        <v>547</v>
      </c>
      <c r="AG1696">
        <v>547</v>
      </c>
      <c r="AH1696" s="1">
        <v>41597</v>
      </c>
      <c r="AI1696" s="1">
        <v>41607</v>
      </c>
      <c r="AJ1696" s="1">
        <v>41597</v>
      </c>
    </row>
    <row r="1697" spans="1:36" ht="15">
      <c r="A1697" t="str">
        <f>"54526071A4"</f>
        <v>54526071A4</v>
      </c>
      <c r="B1697" t="str">
        <f t="shared" si="71"/>
        <v>02406911202</v>
      </c>
      <c r="C1697" t="s">
        <v>13</v>
      </c>
      <c r="D1697" t="s">
        <v>1145</v>
      </c>
      <c r="E1697" t="s">
        <v>1178</v>
      </c>
      <c r="F1697" t="s">
        <v>796</v>
      </c>
      <c r="G1697" t="str">
        <f>"09588050154"</f>
        <v>09588050154</v>
      </c>
      <c r="I1697" t="s">
        <v>1267</v>
      </c>
      <c r="L1697" t="s">
        <v>41</v>
      </c>
      <c r="M1697">
        <v>2256</v>
      </c>
      <c r="AG1697">
        <v>2256</v>
      </c>
      <c r="AH1697" s="1">
        <v>41604</v>
      </c>
      <c r="AI1697" s="1">
        <v>41614</v>
      </c>
      <c r="AJ1697" s="1">
        <v>41604</v>
      </c>
    </row>
    <row r="1698" spans="1:36" ht="15">
      <c r="A1698" t="str">
        <f>"546280621F"</f>
        <v>546280621F</v>
      </c>
      <c r="B1698" t="str">
        <f t="shared" si="71"/>
        <v>02406911202</v>
      </c>
      <c r="C1698" t="s">
        <v>13</v>
      </c>
      <c r="D1698" t="s">
        <v>1145</v>
      </c>
      <c r="E1698" t="s">
        <v>1152</v>
      </c>
      <c r="F1698" t="s">
        <v>796</v>
      </c>
      <c r="G1698" t="str">
        <f>"01427991003"</f>
        <v>01427991003</v>
      </c>
      <c r="I1698" t="s">
        <v>1189</v>
      </c>
      <c r="L1698" t="s">
        <v>41</v>
      </c>
      <c r="M1698">
        <v>1554</v>
      </c>
      <c r="AG1698">
        <v>1554</v>
      </c>
      <c r="AH1698" s="1">
        <v>41619</v>
      </c>
      <c r="AI1698" s="1">
        <v>41629</v>
      </c>
      <c r="AJ1698" s="1">
        <v>41619</v>
      </c>
    </row>
    <row r="1699" spans="1:36" ht="15">
      <c r="A1699" t="str">
        <f>"546294225A"</f>
        <v>546294225A</v>
      </c>
      <c r="B1699" t="str">
        <f t="shared" si="71"/>
        <v>02406911202</v>
      </c>
      <c r="C1699" t="s">
        <v>13</v>
      </c>
      <c r="D1699" t="s">
        <v>1145</v>
      </c>
      <c r="E1699" t="s">
        <v>1195</v>
      </c>
      <c r="F1699" t="s">
        <v>796</v>
      </c>
      <c r="G1699" t="str">
        <f>"01538070424"</f>
        <v>01538070424</v>
      </c>
      <c r="I1699" t="s">
        <v>1273</v>
      </c>
      <c r="L1699" t="s">
        <v>41</v>
      </c>
      <c r="M1699">
        <v>1992</v>
      </c>
      <c r="AG1699">
        <v>1992</v>
      </c>
      <c r="AH1699" s="1">
        <v>41605</v>
      </c>
      <c r="AI1699" s="1">
        <v>41615</v>
      </c>
      <c r="AJ1699" s="1">
        <v>41605</v>
      </c>
    </row>
    <row r="1700" spans="1:36" ht="15">
      <c r="A1700" t="str">
        <f>"54639989C8"</f>
        <v>54639989C8</v>
      </c>
      <c r="B1700" t="str">
        <f t="shared" si="71"/>
        <v>02406911202</v>
      </c>
      <c r="C1700" t="s">
        <v>13</v>
      </c>
      <c r="D1700" t="s">
        <v>1145</v>
      </c>
      <c r="E1700" t="s">
        <v>1173</v>
      </c>
      <c r="F1700" t="s">
        <v>796</v>
      </c>
      <c r="G1700" t="str">
        <f>"00502591209"</f>
        <v>00502591209</v>
      </c>
      <c r="I1700" t="s">
        <v>1274</v>
      </c>
      <c r="L1700" t="s">
        <v>41</v>
      </c>
      <c r="M1700">
        <v>2043</v>
      </c>
      <c r="AG1700">
        <v>2043</v>
      </c>
      <c r="AH1700" s="1">
        <v>41605</v>
      </c>
      <c r="AI1700" s="1">
        <v>41615</v>
      </c>
      <c r="AJ1700" s="1">
        <v>41605</v>
      </c>
    </row>
    <row r="1701" spans="1:36" ht="15">
      <c r="A1701" t="str">
        <f>"5479881CD8"</f>
        <v>5479881CD8</v>
      </c>
      <c r="B1701" t="str">
        <f t="shared" si="71"/>
        <v>02406911202</v>
      </c>
      <c r="C1701" t="s">
        <v>13</v>
      </c>
      <c r="D1701" t="s">
        <v>1145</v>
      </c>
      <c r="E1701" t="s">
        <v>1182</v>
      </c>
      <c r="F1701" t="s">
        <v>796</v>
      </c>
      <c r="G1701" t="str">
        <f>"01021490501"</f>
        <v>01021490501</v>
      </c>
      <c r="I1701" t="s">
        <v>1209</v>
      </c>
      <c r="L1701" t="s">
        <v>41</v>
      </c>
      <c r="M1701">
        <v>4760</v>
      </c>
      <c r="AG1701">
        <v>4760</v>
      </c>
      <c r="AH1701" s="1">
        <v>41617</v>
      </c>
      <c r="AI1701" s="1">
        <v>41627</v>
      </c>
      <c r="AJ1701" s="1">
        <v>41617</v>
      </c>
    </row>
    <row r="1702" spans="1:36" ht="15">
      <c r="A1702" t="str">
        <f>"547991159C"</f>
        <v>547991159C</v>
      </c>
      <c r="B1702" t="str">
        <f t="shared" si="71"/>
        <v>02406911202</v>
      </c>
      <c r="C1702" t="s">
        <v>13</v>
      </c>
      <c r="D1702" t="s">
        <v>1145</v>
      </c>
      <c r="E1702" t="s">
        <v>1173</v>
      </c>
      <c r="F1702" t="s">
        <v>796</v>
      </c>
      <c r="H1702" t="str">
        <f>"FR37477567739"</f>
        <v>FR37477567739</v>
      </c>
      <c r="I1702" t="s">
        <v>1275</v>
      </c>
      <c r="L1702" t="s">
        <v>41</v>
      </c>
      <c r="M1702">
        <v>1929.37</v>
      </c>
      <c r="AG1702">
        <v>1929.37</v>
      </c>
      <c r="AH1702" s="1">
        <v>41619</v>
      </c>
      <c r="AI1702" s="1">
        <v>41629</v>
      </c>
      <c r="AJ1702" s="1">
        <v>41619</v>
      </c>
    </row>
    <row r="1703" spans="1:36" ht="15">
      <c r="A1703" t="str">
        <f>"5494927D32"</f>
        <v>5494927D32</v>
      </c>
      <c r="B1703" t="str">
        <f t="shared" si="71"/>
        <v>02406911202</v>
      </c>
      <c r="C1703" t="s">
        <v>13</v>
      </c>
      <c r="D1703" t="s">
        <v>1145</v>
      </c>
      <c r="E1703" t="s">
        <v>1182</v>
      </c>
      <c r="F1703" t="s">
        <v>796</v>
      </c>
      <c r="G1703" t="str">
        <f>"03029110040"</f>
        <v>03029110040</v>
      </c>
      <c r="I1703" t="s">
        <v>1276</v>
      </c>
      <c r="L1703" t="s">
        <v>41</v>
      </c>
      <c r="M1703">
        <v>1600</v>
      </c>
      <c r="AG1703">
        <v>1600</v>
      </c>
      <c r="AH1703" s="1">
        <v>41618</v>
      </c>
      <c r="AI1703" s="1">
        <v>41628</v>
      </c>
      <c r="AJ1703" s="1">
        <v>41618</v>
      </c>
    </row>
    <row r="1704" spans="1:36" ht="15">
      <c r="A1704" t="str">
        <f>"54971507AE"</f>
        <v>54971507AE</v>
      </c>
      <c r="B1704" t="str">
        <f t="shared" si="71"/>
        <v>02406911202</v>
      </c>
      <c r="C1704" t="s">
        <v>13</v>
      </c>
      <c r="D1704" t="s">
        <v>1145</v>
      </c>
      <c r="E1704" t="s">
        <v>1277</v>
      </c>
      <c r="F1704" t="s">
        <v>796</v>
      </c>
      <c r="G1704" t="str">
        <f>"01818301200"</f>
        <v>01818301200</v>
      </c>
      <c r="I1704" t="s">
        <v>247</v>
      </c>
      <c r="L1704" t="s">
        <v>41</v>
      </c>
      <c r="M1704">
        <v>8196.73</v>
      </c>
      <c r="AG1704">
        <v>0</v>
      </c>
      <c r="AH1704" s="1">
        <v>41618</v>
      </c>
      <c r="AI1704" s="1">
        <v>41628</v>
      </c>
      <c r="AJ1704" s="1">
        <v>41618</v>
      </c>
    </row>
    <row r="1705" spans="1:36" ht="15">
      <c r="A1705" t="str">
        <f>"550787061B"</f>
        <v>550787061B</v>
      </c>
      <c r="B1705" t="str">
        <f t="shared" si="71"/>
        <v>02406911202</v>
      </c>
      <c r="C1705" t="s">
        <v>13</v>
      </c>
      <c r="D1705" t="s">
        <v>1145</v>
      </c>
      <c r="E1705" t="s">
        <v>1186</v>
      </c>
      <c r="F1705" t="s">
        <v>796</v>
      </c>
      <c r="G1705" t="str">
        <f>"02323450367"</f>
        <v>02323450367</v>
      </c>
      <c r="I1705" t="s">
        <v>1278</v>
      </c>
      <c r="L1705" t="s">
        <v>41</v>
      </c>
      <c r="M1705">
        <v>16350</v>
      </c>
      <c r="AG1705">
        <v>16350</v>
      </c>
      <c r="AH1705" s="1">
        <v>41619</v>
      </c>
      <c r="AI1705" s="1">
        <v>41629</v>
      </c>
      <c r="AJ1705" s="1">
        <v>41619</v>
      </c>
    </row>
    <row r="1706" spans="1:36" ht="15">
      <c r="A1706" t="str">
        <f>"55179715B7"</f>
        <v>55179715B7</v>
      </c>
      <c r="B1706" t="str">
        <f t="shared" si="71"/>
        <v>02406911202</v>
      </c>
      <c r="C1706" t="s">
        <v>13</v>
      </c>
      <c r="D1706" t="s">
        <v>1145</v>
      </c>
      <c r="E1706" t="s">
        <v>1188</v>
      </c>
      <c r="F1706" t="s">
        <v>796</v>
      </c>
      <c r="G1706" t="str">
        <f>"01003500293"</f>
        <v>01003500293</v>
      </c>
      <c r="I1706" t="s">
        <v>1213</v>
      </c>
      <c r="L1706" t="s">
        <v>41</v>
      </c>
      <c r="M1706">
        <v>7140</v>
      </c>
      <c r="AG1706">
        <v>7140</v>
      </c>
      <c r="AH1706" s="1">
        <v>41619</v>
      </c>
      <c r="AI1706" s="1">
        <v>41629</v>
      </c>
      <c r="AJ1706" s="1">
        <v>41619</v>
      </c>
    </row>
    <row r="1707" spans="1:36" ht="15">
      <c r="A1707" t="str">
        <f>"5518191B42"</f>
        <v>5518191B42</v>
      </c>
      <c r="B1707" t="str">
        <f t="shared" si="71"/>
        <v>02406911202</v>
      </c>
      <c r="C1707" t="s">
        <v>13</v>
      </c>
      <c r="D1707" t="s">
        <v>1145</v>
      </c>
      <c r="E1707" t="s">
        <v>1153</v>
      </c>
      <c r="F1707" t="s">
        <v>796</v>
      </c>
      <c r="G1707" t="str">
        <f>"03551890373"</f>
        <v>03551890373</v>
      </c>
      <c r="I1707" t="s">
        <v>1166</v>
      </c>
      <c r="L1707" t="s">
        <v>41</v>
      </c>
      <c r="M1707">
        <v>400</v>
      </c>
      <c r="AG1707">
        <v>400</v>
      </c>
      <c r="AH1707" s="1">
        <v>41619</v>
      </c>
      <c r="AI1707" s="1">
        <v>41629</v>
      </c>
      <c r="AJ1707" s="1">
        <v>41619</v>
      </c>
    </row>
    <row r="1708" spans="1:36" ht="15">
      <c r="A1708" t="str">
        <f>"551938870F"</f>
        <v>551938870F</v>
      </c>
      <c r="B1708" t="str">
        <f t="shared" si="71"/>
        <v>02406911202</v>
      </c>
      <c r="C1708" t="s">
        <v>13</v>
      </c>
      <c r="D1708" t="s">
        <v>1145</v>
      </c>
      <c r="E1708" t="s">
        <v>1188</v>
      </c>
      <c r="F1708" t="s">
        <v>796</v>
      </c>
      <c r="G1708" t="str">
        <f>"01985091204"</f>
        <v>01985091204</v>
      </c>
      <c r="I1708" t="s">
        <v>1221</v>
      </c>
      <c r="L1708" t="s">
        <v>41</v>
      </c>
      <c r="M1708">
        <v>17800</v>
      </c>
      <c r="AG1708">
        <v>17800</v>
      </c>
      <c r="AH1708" s="1">
        <v>41619</v>
      </c>
      <c r="AI1708" s="1">
        <v>41629</v>
      </c>
      <c r="AJ1708" s="1">
        <v>41619</v>
      </c>
    </row>
    <row r="1709" spans="1:36" ht="15">
      <c r="A1709" t="str">
        <f>"551994203E"</f>
        <v>551994203E</v>
      </c>
      <c r="B1709" t="str">
        <f t="shared" si="71"/>
        <v>02406911202</v>
      </c>
      <c r="C1709" t="s">
        <v>13</v>
      </c>
      <c r="D1709" t="s">
        <v>1145</v>
      </c>
      <c r="E1709" t="s">
        <v>1152</v>
      </c>
      <c r="F1709" t="s">
        <v>796</v>
      </c>
      <c r="G1709" t="str">
        <f>"03384060962"</f>
        <v>03384060962</v>
      </c>
      <c r="I1709" t="s">
        <v>1279</v>
      </c>
      <c r="L1709" t="s">
        <v>41</v>
      </c>
      <c r="M1709">
        <v>1172</v>
      </c>
      <c r="AG1709">
        <v>1172</v>
      </c>
      <c r="AH1709" s="1">
        <v>41639</v>
      </c>
      <c r="AI1709" s="1">
        <v>41649</v>
      </c>
      <c r="AJ1709" s="1">
        <v>41639</v>
      </c>
    </row>
    <row r="1710" spans="1:36" ht="15">
      <c r="A1710" t="str">
        <f>"5538418F1A"</f>
        <v>5538418F1A</v>
      </c>
      <c r="B1710" t="str">
        <f t="shared" si="71"/>
        <v>02406911202</v>
      </c>
      <c r="C1710" t="s">
        <v>13</v>
      </c>
      <c r="D1710" t="s">
        <v>1145</v>
      </c>
      <c r="E1710" t="s">
        <v>1182</v>
      </c>
      <c r="F1710" t="s">
        <v>796</v>
      </c>
      <c r="G1710" t="str">
        <f>"00740430335"</f>
        <v>00740430335</v>
      </c>
      <c r="I1710" t="s">
        <v>1151</v>
      </c>
      <c r="L1710" t="s">
        <v>41</v>
      </c>
      <c r="M1710">
        <v>18750</v>
      </c>
      <c r="AG1710">
        <v>18750</v>
      </c>
      <c r="AH1710" s="1">
        <v>41628</v>
      </c>
      <c r="AI1710" s="1">
        <v>41638</v>
      </c>
      <c r="AJ1710" s="1">
        <v>41628</v>
      </c>
    </row>
    <row r="1711" spans="1:36" ht="15">
      <c r="A1711" t="str">
        <f>"5538512CAD"</f>
        <v>5538512CAD</v>
      </c>
      <c r="B1711" t="str">
        <f t="shared" si="71"/>
        <v>02406911202</v>
      </c>
      <c r="C1711" t="s">
        <v>13</v>
      </c>
      <c r="D1711" t="s">
        <v>1145</v>
      </c>
      <c r="E1711" t="s">
        <v>1188</v>
      </c>
      <c r="F1711" t="s">
        <v>796</v>
      </c>
      <c r="G1711" t="str">
        <f>"05724831002"</f>
        <v>05724831002</v>
      </c>
      <c r="I1711" t="s">
        <v>1202</v>
      </c>
      <c r="L1711" t="s">
        <v>41</v>
      </c>
      <c r="M1711">
        <v>16065</v>
      </c>
      <c r="AG1711">
        <v>16065</v>
      </c>
      <c r="AH1711" s="1">
        <v>41638</v>
      </c>
      <c r="AI1711" s="1">
        <v>41648</v>
      </c>
      <c r="AJ1711" s="1">
        <v>41638</v>
      </c>
    </row>
    <row r="1712" spans="1:36" ht="15">
      <c r="A1712" t="str">
        <f>"55402674F5"</f>
        <v>55402674F5</v>
      </c>
      <c r="B1712" t="str">
        <f t="shared" si="71"/>
        <v>02406911202</v>
      </c>
      <c r="C1712" t="s">
        <v>13</v>
      </c>
      <c r="D1712" t="s">
        <v>1145</v>
      </c>
      <c r="E1712" t="s">
        <v>1186</v>
      </c>
      <c r="F1712" t="s">
        <v>796</v>
      </c>
      <c r="G1712" t="str">
        <f>"03278841204"</f>
        <v>03278841204</v>
      </c>
      <c r="I1712" t="s">
        <v>455</v>
      </c>
      <c r="L1712" t="s">
        <v>41</v>
      </c>
      <c r="M1712">
        <v>9584.4</v>
      </c>
      <c r="AG1712">
        <v>9584.4</v>
      </c>
      <c r="AH1712" s="1">
        <v>41605</v>
      </c>
      <c r="AI1712" s="1">
        <v>41615</v>
      </c>
      <c r="AJ1712" s="1">
        <v>41605</v>
      </c>
    </row>
    <row r="1713" spans="1:36" ht="15">
      <c r="A1713" t="str">
        <f>"55411215B3"</f>
        <v>55411215B3</v>
      </c>
      <c r="B1713" t="str">
        <f t="shared" si="71"/>
        <v>02406911202</v>
      </c>
      <c r="C1713" t="s">
        <v>13</v>
      </c>
      <c r="D1713" t="s">
        <v>1145</v>
      </c>
      <c r="E1713" t="s">
        <v>1153</v>
      </c>
      <c r="F1713" t="s">
        <v>796</v>
      </c>
      <c r="G1713" t="str">
        <f>"00488410010"</f>
        <v>00488410010</v>
      </c>
      <c r="I1713" t="s">
        <v>248</v>
      </c>
      <c r="L1713" t="s">
        <v>41</v>
      </c>
      <c r="M1713">
        <v>7930</v>
      </c>
      <c r="AG1713">
        <v>7930</v>
      </c>
      <c r="AH1713" s="1">
        <v>41639</v>
      </c>
      <c r="AI1713" s="1">
        <v>41649</v>
      </c>
      <c r="AJ1713" s="1">
        <v>41639</v>
      </c>
    </row>
    <row r="1714" spans="1:36" ht="15">
      <c r="A1714" t="str">
        <f>"55411551C3"</f>
        <v>55411551C3</v>
      </c>
      <c r="B1714" t="str">
        <f t="shared" si="71"/>
        <v>02406911202</v>
      </c>
      <c r="C1714" t="s">
        <v>13</v>
      </c>
      <c r="D1714" t="s">
        <v>1145</v>
      </c>
      <c r="E1714" t="s">
        <v>1153</v>
      </c>
      <c r="F1714" t="s">
        <v>796</v>
      </c>
      <c r="G1714" t="str">
        <f>"01538070424"</f>
        <v>01538070424</v>
      </c>
      <c r="I1714" t="s">
        <v>1273</v>
      </c>
      <c r="L1714" t="s">
        <v>41</v>
      </c>
      <c r="M1714">
        <v>2490</v>
      </c>
      <c r="AG1714">
        <v>2490</v>
      </c>
      <c r="AH1714" s="1">
        <v>41639</v>
      </c>
      <c r="AI1714" s="1">
        <v>41649</v>
      </c>
      <c r="AJ1714" s="1">
        <v>41639</v>
      </c>
    </row>
    <row r="1715" spans="1:36" ht="15">
      <c r="A1715" t="str">
        <f>"5541321ABD"</f>
        <v>5541321ABD</v>
      </c>
      <c r="B1715" t="str">
        <f t="shared" si="71"/>
        <v>02406911202</v>
      </c>
      <c r="C1715" t="s">
        <v>13</v>
      </c>
      <c r="D1715" t="s">
        <v>1145</v>
      </c>
      <c r="E1715" t="s">
        <v>1204</v>
      </c>
      <c r="F1715" t="s">
        <v>796</v>
      </c>
      <c r="G1715" t="str">
        <f>"03678891007"</f>
        <v>03678891007</v>
      </c>
      <c r="I1715" t="s">
        <v>1280</v>
      </c>
      <c r="L1715" t="s">
        <v>41</v>
      </c>
      <c r="M1715">
        <v>684</v>
      </c>
      <c r="AG1715">
        <v>684</v>
      </c>
      <c r="AH1715" s="1">
        <v>41639</v>
      </c>
      <c r="AI1715" s="1">
        <v>41649</v>
      </c>
      <c r="AJ1715" s="1">
        <v>41639</v>
      </c>
    </row>
    <row r="1716" spans="1:36" ht="15">
      <c r="A1716" t="str">
        <f>"5541443F69"</f>
        <v>5541443F69</v>
      </c>
      <c r="B1716" t="str">
        <f t="shared" si="71"/>
        <v>02406911202</v>
      </c>
      <c r="C1716" t="s">
        <v>13</v>
      </c>
      <c r="D1716" t="s">
        <v>1145</v>
      </c>
      <c r="E1716" t="s">
        <v>1249</v>
      </c>
      <c r="F1716" t="s">
        <v>796</v>
      </c>
      <c r="G1716" t="str">
        <f>"03919440374"</f>
        <v>03919440374</v>
      </c>
      <c r="I1716" t="s">
        <v>1281</v>
      </c>
      <c r="L1716" t="s">
        <v>41</v>
      </c>
      <c r="M1716">
        <v>9680</v>
      </c>
      <c r="AG1716">
        <v>9280</v>
      </c>
      <c r="AH1716" s="1">
        <v>41639</v>
      </c>
      <c r="AI1716" s="1">
        <v>41649</v>
      </c>
      <c r="AJ1716" s="1">
        <v>41639</v>
      </c>
    </row>
    <row r="1717" spans="1:36" ht="15">
      <c r="A1717" t="str">
        <f>"5542139DC5"</f>
        <v>5542139DC5</v>
      </c>
      <c r="B1717" t="str">
        <f t="shared" si="71"/>
        <v>02406911202</v>
      </c>
      <c r="C1717" t="s">
        <v>13</v>
      </c>
      <c r="D1717" t="s">
        <v>1145</v>
      </c>
      <c r="E1717" t="s">
        <v>1249</v>
      </c>
      <c r="F1717" t="s">
        <v>796</v>
      </c>
      <c r="G1717" t="str">
        <f>"00701430217"</f>
        <v>00701430217</v>
      </c>
      <c r="I1717" t="s">
        <v>1282</v>
      </c>
      <c r="L1717" t="s">
        <v>41</v>
      </c>
      <c r="M1717">
        <v>2154</v>
      </c>
      <c r="AG1717">
        <v>0</v>
      </c>
      <c r="AH1717" s="1">
        <v>41639</v>
      </c>
      <c r="AI1717" s="1">
        <v>41649</v>
      </c>
      <c r="AJ1717" s="1">
        <v>41639</v>
      </c>
    </row>
    <row r="1718" spans="1:36" ht="15">
      <c r="A1718" t="str">
        <f>"55549265F2"</f>
        <v>55549265F2</v>
      </c>
      <c r="B1718" t="str">
        <f t="shared" si="71"/>
        <v>02406911202</v>
      </c>
      <c r="C1718" t="s">
        <v>13</v>
      </c>
      <c r="D1718" t="s">
        <v>1145</v>
      </c>
      <c r="E1718" t="s">
        <v>1283</v>
      </c>
      <c r="F1718" t="s">
        <v>796</v>
      </c>
      <c r="G1718" t="str">
        <f>"02030330423"</f>
        <v>02030330423</v>
      </c>
      <c r="I1718" t="s">
        <v>1191</v>
      </c>
      <c r="L1718" t="s">
        <v>41</v>
      </c>
      <c r="M1718">
        <v>8250</v>
      </c>
      <c r="AG1718">
        <v>8250</v>
      </c>
      <c r="AH1718" s="1">
        <v>41639</v>
      </c>
      <c r="AI1718" s="1">
        <v>41649</v>
      </c>
      <c r="AJ1718" s="1">
        <v>41639</v>
      </c>
    </row>
    <row r="1719" spans="1:36" ht="15">
      <c r="A1719" t="str">
        <f>"5569107C78"</f>
        <v>5569107C78</v>
      </c>
      <c r="B1719" t="str">
        <f t="shared" si="71"/>
        <v>02406911202</v>
      </c>
      <c r="C1719" t="s">
        <v>13</v>
      </c>
      <c r="D1719" t="s">
        <v>1145</v>
      </c>
      <c r="E1719" t="s">
        <v>1178</v>
      </c>
      <c r="F1719" t="s">
        <v>796</v>
      </c>
      <c r="G1719" t="str">
        <f>"03837490402"</f>
        <v>03837490402</v>
      </c>
      <c r="I1719" t="s">
        <v>1190</v>
      </c>
      <c r="L1719" t="s">
        <v>41</v>
      </c>
      <c r="M1719">
        <v>4000</v>
      </c>
      <c r="AG1719">
        <v>4000</v>
      </c>
      <c r="AH1719" s="1">
        <v>41639</v>
      </c>
      <c r="AI1719" s="1">
        <v>41649</v>
      </c>
      <c r="AJ1719" s="1">
        <v>41639</v>
      </c>
    </row>
    <row r="1720" spans="1:36" ht="15">
      <c r="A1720" t="str">
        <f>"2511547226"</f>
        <v>2511547226</v>
      </c>
      <c r="B1720" t="str">
        <f t="shared" si="71"/>
        <v>02406911202</v>
      </c>
      <c r="C1720" t="s">
        <v>13</v>
      </c>
      <c r="D1720" t="s">
        <v>794</v>
      </c>
      <c r="E1720" t="s">
        <v>1284</v>
      </c>
      <c r="F1720" t="s">
        <v>796</v>
      </c>
      <c r="G1720" t="str">
        <f>"00694271206"</f>
        <v>00694271206</v>
      </c>
      <c r="I1720" t="s">
        <v>1285</v>
      </c>
      <c r="L1720" t="s">
        <v>41</v>
      </c>
      <c r="M1720">
        <v>4807.38</v>
      </c>
      <c r="AG1720">
        <v>21064.78</v>
      </c>
      <c r="AH1720" s="1">
        <v>41299</v>
      </c>
      <c r="AI1720" s="1">
        <v>41341</v>
      </c>
      <c r="AJ1720" s="1">
        <v>41299</v>
      </c>
    </row>
    <row r="1721" spans="1:36" ht="15">
      <c r="A1721" t="str">
        <f>"4373925517"</f>
        <v>4373925517</v>
      </c>
      <c r="B1721" t="str">
        <f t="shared" si="71"/>
        <v>02406911202</v>
      </c>
      <c r="C1721" t="s">
        <v>13</v>
      </c>
      <c r="D1721" t="s">
        <v>794</v>
      </c>
      <c r="E1721" t="s">
        <v>1286</v>
      </c>
      <c r="F1721" t="s">
        <v>796</v>
      </c>
      <c r="G1721" t="str">
        <f>"00641731203"</f>
        <v>00641731203</v>
      </c>
      <c r="I1721" t="s">
        <v>1287</v>
      </c>
      <c r="L1721" t="s">
        <v>41</v>
      </c>
      <c r="M1721">
        <v>26981</v>
      </c>
      <c r="AG1721">
        <v>65534.99</v>
      </c>
      <c r="AH1721" s="1">
        <v>41320</v>
      </c>
      <c r="AI1721" s="1">
        <v>41585</v>
      </c>
      <c r="AJ1721" s="1">
        <v>41320</v>
      </c>
    </row>
    <row r="1722" spans="1:36" ht="15">
      <c r="A1722" t="str">
        <f>" Z5F0867A5"</f>
        <v> Z5F0867A5</v>
      </c>
      <c r="B1722" t="str">
        <f t="shared" si="71"/>
        <v>02406911202</v>
      </c>
      <c r="C1722" t="s">
        <v>13</v>
      </c>
      <c r="D1722" t="s">
        <v>794</v>
      </c>
      <c r="E1722" t="s">
        <v>1288</v>
      </c>
      <c r="F1722" t="s">
        <v>796</v>
      </c>
      <c r="G1722" t="str">
        <f>"02228671208"</f>
        <v>02228671208</v>
      </c>
      <c r="I1722" t="s">
        <v>1289</v>
      </c>
      <c r="L1722" t="s">
        <v>41</v>
      </c>
      <c r="M1722">
        <v>420</v>
      </c>
      <c r="AG1722">
        <v>0</v>
      </c>
      <c r="AH1722" s="1">
        <v>41303</v>
      </c>
      <c r="AI1722" s="1">
        <v>41313</v>
      </c>
      <c r="AJ1722" s="1">
        <v>41303</v>
      </c>
    </row>
    <row r="1723" spans="1:36" ht="15">
      <c r="A1723" t="str">
        <f>"2605517CA2"</f>
        <v>2605517CA2</v>
      </c>
      <c r="B1723" t="str">
        <f t="shared" si="71"/>
        <v>02406911202</v>
      </c>
      <c r="C1723" t="s">
        <v>13</v>
      </c>
      <c r="D1723" t="s">
        <v>794</v>
      </c>
      <c r="E1723" t="s">
        <v>1290</v>
      </c>
      <c r="F1723" t="s">
        <v>796</v>
      </c>
      <c r="G1723" t="str">
        <f>"01717071201"</f>
        <v>01717071201</v>
      </c>
      <c r="I1723" t="s">
        <v>1291</v>
      </c>
      <c r="L1723" t="s">
        <v>41</v>
      </c>
      <c r="M1723">
        <v>6240.68</v>
      </c>
      <c r="AG1723">
        <v>6240.68</v>
      </c>
      <c r="AH1723" s="1">
        <v>41409</v>
      </c>
      <c r="AI1723" s="1">
        <v>41462</v>
      </c>
      <c r="AJ1723" s="1">
        <v>41409</v>
      </c>
    </row>
    <row r="1724" spans="1:36" ht="15">
      <c r="A1724" t="str">
        <f>"4373898ECC"</f>
        <v>4373898ECC</v>
      </c>
      <c r="B1724" t="str">
        <f t="shared" si="71"/>
        <v>02406911202</v>
      </c>
      <c r="C1724" t="s">
        <v>13</v>
      </c>
      <c r="D1724" t="s">
        <v>794</v>
      </c>
      <c r="E1724" t="s">
        <v>1284</v>
      </c>
      <c r="F1724" t="s">
        <v>796</v>
      </c>
      <c r="G1724" t="str">
        <f>"01554711208"</f>
        <v>01554711208</v>
      </c>
      <c r="I1724" t="s">
        <v>836</v>
      </c>
      <c r="L1724" t="s">
        <v>41</v>
      </c>
      <c r="M1724">
        <v>7787</v>
      </c>
      <c r="AG1724">
        <v>167486.15</v>
      </c>
      <c r="AH1724" s="1">
        <v>41275</v>
      </c>
      <c r="AI1724" s="1">
        <v>41639</v>
      </c>
      <c r="AJ1724" s="1">
        <v>41275</v>
      </c>
    </row>
    <row r="1725" spans="1:36" ht="15">
      <c r="A1725" t="str">
        <f>"4373951A8A"</f>
        <v>4373951A8A</v>
      </c>
      <c r="B1725" t="str">
        <f t="shared" si="71"/>
        <v>02406911202</v>
      </c>
      <c r="C1725" t="s">
        <v>13</v>
      </c>
      <c r="D1725" t="s">
        <v>794</v>
      </c>
      <c r="E1725" t="s">
        <v>1292</v>
      </c>
      <c r="F1725" t="s">
        <v>796</v>
      </c>
      <c r="G1725" t="str">
        <f>"03555570377"</f>
        <v>03555570377</v>
      </c>
      <c r="I1725" t="s">
        <v>845</v>
      </c>
      <c r="L1725" t="s">
        <v>41</v>
      </c>
      <c r="M1725">
        <v>20151</v>
      </c>
      <c r="AG1725">
        <v>47117.49</v>
      </c>
      <c r="AH1725" s="1">
        <v>41282</v>
      </c>
      <c r="AI1725" s="1">
        <v>41546</v>
      </c>
      <c r="AJ1725" s="1">
        <v>41282</v>
      </c>
    </row>
    <row r="1726" spans="1:36" ht="15">
      <c r="A1726" t="str">
        <f>"Z01086805F"</f>
        <v>Z01086805F</v>
      </c>
      <c r="B1726" t="str">
        <f t="shared" si="71"/>
        <v>02406911202</v>
      </c>
      <c r="C1726" t="s">
        <v>13</v>
      </c>
      <c r="D1726" t="s">
        <v>794</v>
      </c>
      <c r="E1726" t="s">
        <v>1293</v>
      </c>
      <c r="F1726" t="s">
        <v>796</v>
      </c>
      <c r="G1726" t="str">
        <f>"01757161201"</f>
        <v>01757161201</v>
      </c>
      <c r="I1726" t="s">
        <v>1294</v>
      </c>
      <c r="L1726" t="s">
        <v>41</v>
      </c>
      <c r="M1726">
        <v>614.25</v>
      </c>
      <c r="AG1726">
        <v>696.75</v>
      </c>
      <c r="AH1726" s="1">
        <v>41303</v>
      </c>
      <c r="AI1726" s="1">
        <v>41313</v>
      </c>
      <c r="AJ1726" s="1">
        <v>41303</v>
      </c>
    </row>
    <row r="1727" spans="1:36" ht="15">
      <c r="A1727" t="str">
        <f>"Z050D8F305"</f>
        <v>Z050D8F305</v>
      </c>
      <c r="B1727" t="str">
        <f t="shared" si="71"/>
        <v>02406911202</v>
      </c>
      <c r="C1727" t="s">
        <v>13</v>
      </c>
      <c r="D1727" t="s">
        <v>794</v>
      </c>
      <c r="E1727" t="s">
        <v>1295</v>
      </c>
      <c r="F1727" t="s">
        <v>796</v>
      </c>
      <c r="G1727" t="str">
        <f>"07898340968"</f>
        <v>07898340968</v>
      </c>
      <c r="I1727" t="s">
        <v>1296</v>
      </c>
      <c r="L1727" t="s">
        <v>41</v>
      </c>
      <c r="M1727">
        <v>870</v>
      </c>
      <c r="AG1727">
        <v>870</v>
      </c>
      <c r="AH1727" s="1">
        <v>41275</v>
      </c>
      <c r="AI1727" s="1">
        <v>41639</v>
      </c>
      <c r="AJ1727" s="1">
        <v>41275</v>
      </c>
    </row>
    <row r="1728" spans="1:36" ht="15">
      <c r="A1728" t="str">
        <f>"Z070B89699"</f>
        <v>Z070B89699</v>
      </c>
      <c r="B1728" t="str">
        <f t="shared" si="71"/>
        <v>02406911202</v>
      </c>
      <c r="C1728" t="s">
        <v>13</v>
      </c>
      <c r="D1728" t="s">
        <v>794</v>
      </c>
      <c r="E1728" t="s">
        <v>1297</v>
      </c>
      <c r="F1728" t="s">
        <v>796</v>
      </c>
      <c r="G1728" t="str">
        <f>"02244790750"</f>
        <v>02244790750</v>
      </c>
      <c r="I1728" t="s">
        <v>1298</v>
      </c>
      <c r="L1728" t="s">
        <v>41</v>
      </c>
      <c r="M1728">
        <v>1420</v>
      </c>
      <c r="AG1728">
        <v>780</v>
      </c>
      <c r="AH1728" s="1">
        <v>41275</v>
      </c>
      <c r="AI1728" s="1">
        <v>41639</v>
      </c>
      <c r="AJ1728" s="1">
        <v>41275</v>
      </c>
    </row>
    <row r="1729" spans="1:36" ht="15">
      <c r="A1729" t="str">
        <f>"Z090BB2035"</f>
        <v>Z090BB2035</v>
      </c>
      <c r="B1729" t="str">
        <f t="shared" si="71"/>
        <v>02406911202</v>
      </c>
      <c r="C1729" t="s">
        <v>13</v>
      </c>
      <c r="D1729" t="s">
        <v>794</v>
      </c>
      <c r="E1729" t="s">
        <v>1299</v>
      </c>
      <c r="F1729" t="s">
        <v>796</v>
      </c>
      <c r="G1729" t="str">
        <f>"02766411207"</f>
        <v>02766411207</v>
      </c>
      <c r="I1729" t="s">
        <v>1300</v>
      </c>
      <c r="L1729" t="s">
        <v>41</v>
      </c>
      <c r="M1729">
        <v>100</v>
      </c>
      <c r="AG1729">
        <v>100</v>
      </c>
      <c r="AH1729" s="1">
        <v>41548</v>
      </c>
      <c r="AI1729" s="1">
        <v>41558</v>
      </c>
      <c r="AJ1729" s="1">
        <v>41548</v>
      </c>
    </row>
    <row r="1730" spans="1:36" ht="15">
      <c r="A1730" t="str">
        <f>"Z0D09816FA"</f>
        <v>Z0D09816FA</v>
      </c>
      <c r="B1730" t="str">
        <f aca="true" t="shared" si="72" ref="B1730:B1793">"02406911202"</f>
        <v>02406911202</v>
      </c>
      <c r="C1730" t="s">
        <v>13</v>
      </c>
      <c r="D1730" t="s">
        <v>794</v>
      </c>
      <c r="E1730" t="s">
        <v>1288</v>
      </c>
      <c r="F1730" t="s">
        <v>796</v>
      </c>
      <c r="G1730" t="str">
        <f>"00602161200"</f>
        <v>00602161200</v>
      </c>
      <c r="I1730" t="s">
        <v>1301</v>
      </c>
      <c r="L1730" t="s">
        <v>41</v>
      </c>
      <c r="M1730">
        <v>9310</v>
      </c>
      <c r="AG1730">
        <v>9310</v>
      </c>
      <c r="AH1730" s="1">
        <v>41380</v>
      </c>
      <c r="AI1730" s="1">
        <v>41390</v>
      </c>
      <c r="AJ1730" s="1">
        <v>41380</v>
      </c>
    </row>
    <row r="1731" spans="1:36" ht="15">
      <c r="A1731" t="str">
        <f>"Z0F0966FF4"</f>
        <v>Z0F0966FF4</v>
      </c>
      <c r="B1731" t="str">
        <f t="shared" si="72"/>
        <v>02406911202</v>
      </c>
      <c r="C1731" t="s">
        <v>13</v>
      </c>
      <c r="D1731" t="s">
        <v>794</v>
      </c>
      <c r="E1731" t="s">
        <v>1297</v>
      </c>
      <c r="F1731" t="s">
        <v>796</v>
      </c>
      <c r="G1731" t="str">
        <f>"03235240045"</f>
        <v>03235240045</v>
      </c>
      <c r="I1731" t="s">
        <v>1302</v>
      </c>
      <c r="L1731" t="s">
        <v>41</v>
      </c>
      <c r="M1731">
        <v>198</v>
      </c>
      <c r="AG1731">
        <v>198</v>
      </c>
      <c r="AH1731" s="1">
        <v>41372</v>
      </c>
      <c r="AI1731" s="1">
        <v>41382</v>
      </c>
      <c r="AJ1731" s="1">
        <v>41372</v>
      </c>
    </row>
    <row r="1732" spans="1:36" ht="15">
      <c r="A1732" t="str">
        <f>"Z130882200"</f>
        <v>Z130882200</v>
      </c>
      <c r="B1732" t="str">
        <f t="shared" si="72"/>
        <v>02406911202</v>
      </c>
      <c r="C1732" t="s">
        <v>13</v>
      </c>
      <c r="D1732" t="s">
        <v>794</v>
      </c>
      <c r="E1732" t="s">
        <v>1303</v>
      </c>
      <c r="F1732" t="s">
        <v>796</v>
      </c>
      <c r="G1732" t="str">
        <f>"02372451209"</f>
        <v>02372451209</v>
      </c>
      <c r="I1732" t="s">
        <v>1304</v>
      </c>
      <c r="L1732" t="s">
        <v>41</v>
      </c>
      <c r="M1732">
        <v>4237</v>
      </c>
      <c r="AG1732">
        <v>3218.89</v>
      </c>
      <c r="AH1732" s="1">
        <v>41275</v>
      </c>
      <c r="AI1732" s="1">
        <v>41639</v>
      </c>
      <c r="AJ1732" s="1">
        <v>41275</v>
      </c>
    </row>
    <row r="1733" spans="1:36" ht="15">
      <c r="A1733" t="str">
        <f>"Z14088214A"</f>
        <v>Z14088214A</v>
      </c>
      <c r="B1733" t="str">
        <f t="shared" si="72"/>
        <v>02406911202</v>
      </c>
      <c r="C1733" t="s">
        <v>13</v>
      </c>
      <c r="D1733" t="s">
        <v>794</v>
      </c>
      <c r="E1733" t="s">
        <v>1305</v>
      </c>
      <c r="F1733" t="s">
        <v>796</v>
      </c>
      <c r="G1733" t="str">
        <f>"00503071201"</f>
        <v>00503071201</v>
      </c>
      <c r="I1733" t="s">
        <v>1306</v>
      </c>
      <c r="L1733" t="s">
        <v>41</v>
      </c>
      <c r="M1733">
        <v>2870.86</v>
      </c>
      <c r="AG1733">
        <v>2710.08</v>
      </c>
      <c r="AH1733" s="1">
        <v>41320</v>
      </c>
      <c r="AI1733" s="1">
        <v>41330</v>
      </c>
      <c r="AJ1733" s="1">
        <v>41320</v>
      </c>
    </row>
    <row r="1734" spans="1:36" ht="15">
      <c r="A1734" t="str">
        <f>"Z1508AF816"</f>
        <v>Z1508AF816</v>
      </c>
      <c r="B1734" t="str">
        <f t="shared" si="72"/>
        <v>02406911202</v>
      </c>
      <c r="C1734" t="s">
        <v>13</v>
      </c>
      <c r="D1734" t="s">
        <v>794</v>
      </c>
      <c r="E1734" t="s">
        <v>1307</v>
      </c>
      <c r="F1734" t="s">
        <v>796</v>
      </c>
      <c r="G1734" t="str">
        <f>"05116320150"</f>
        <v>05116320150</v>
      </c>
      <c r="I1734" t="s">
        <v>1147</v>
      </c>
      <c r="L1734" t="s">
        <v>41</v>
      </c>
      <c r="M1734">
        <v>2200</v>
      </c>
      <c r="AG1734">
        <v>3496.54</v>
      </c>
      <c r="AH1734" s="1">
        <v>41320</v>
      </c>
      <c r="AI1734" s="1">
        <v>41330</v>
      </c>
      <c r="AJ1734" s="1">
        <v>41320</v>
      </c>
    </row>
    <row r="1735" spans="1:36" ht="15">
      <c r="A1735" t="str">
        <f>"Z1C0967470"</f>
        <v>Z1C0967470</v>
      </c>
      <c r="B1735" t="str">
        <f t="shared" si="72"/>
        <v>02406911202</v>
      </c>
      <c r="C1735" t="s">
        <v>13</v>
      </c>
      <c r="D1735" t="s">
        <v>794</v>
      </c>
      <c r="E1735" t="s">
        <v>1297</v>
      </c>
      <c r="F1735" t="s">
        <v>796</v>
      </c>
      <c r="G1735" t="str">
        <f>"02099931202"</f>
        <v>02099931202</v>
      </c>
      <c r="I1735" t="s">
        <v>1308</v>
      </c>
      <c r="L1735" t="s">
        <v>41</v>
      </c>
      <c r="M1735">
        <v>2514.17</v>
      </c>
      <c r="AG1735">
        <v>2514.16</v>
      </c>
      <c r="AH1735" s="1">
        <v>41372</v>
      </c>
      <c r="AI1735" s="1">
        <v>41382</v>
      </c>
      <c r="AJ1735" s="1">
        <v>41372</v>
      </c>
    </row>
    <row r="1736" spans="1:36" ht="15">
      <c r="A1736" t="str">
        <f>"Z220882029"</f>
        <v>Z220882029</v>
      </c>
      <c r="B1736" t="str">
        <f t="shared" si="72"/>
        <v>02406911202</v>
      </c>
      <c r="C1736" t="s">
        <v>13</v>
      </c>
      <c r="D1736" t="s">
        <v>794</v>
      </c>
      <c r="E1736" t="s">
        <v>1299</v>
      </c>
      <c r="F1736" t="s">
        <v>796</v>
      </c>
      <c r="G1736" t="str">
        <f>"00542771209"</f>
        <v>00542771209</v>
      </c>
      <c r="I1736" t="s">
        <v>1309</v>
      </c>
      <c r="L1736" t="s">
        <v>41</v>
      </c>
      <c r="M1736">
        <v>6379</v>
      </c>
      <c r="AG1736">
        <v>6169.3</v>
      </c>
      <c r="AH1736" s="1">
        <v>41310</v>
      </c>
      <c r="AI1736" s="1">
        <v>41581</v>
      </c>
      <c r="AJ1736" s="1">
        <v>41310</v>
      </c>
    </row>
    <row r="1737" spans="1:36" ht="15">
      <c r="A1737" t="str">
        <f>"Z230A0BFDD"</f>
        <v>Z230A0BFDD</v>
      </c>
      <c r="B1737" t="str">
        <f t="shared" si="72"/>
        <v>02406911202</v>
      </c>
      <c r="C1737" t="s">
        <v>13</v>
      </c>
      <c r="D1737" t="s">
        <v>794</v>
      </c>
      <c r="E1737" t="s">
        <v>1290</v>
      </c>
      <c r="F1737" t="s">
        <v>796</v>
      </c>
      <c r="G1737" t="str">
        <f>"01623231204"</f>
        <v>01623231204</v>
      </c>
      <c r="I1737" t="s">
        <v>1310</v>
      </c>
      <c r="L1737" t="s">
        <v>41</v>
      </c>
      <c r="M1737">
        <v>4320</v>
      </c>
      <c r="AG1737">
        <v>4320</v>
      </c>
      <c r="AH1737" s="1">
        <v>41429</v>
      </c>
      <c r="AI1737" s="1">
        <v>41439</v>
      </c>
      <c r="AJ1737" s="1">
        <v>41429</v>
      </c>
    </row>
    <row r="1738" spans="1:36" ht="15">
      <c r="A1738" t="str">
        <f>"Z330A8B4B0"</f>
        <v>Z330A8B4B0</v>
      </c>
      <c r="B1738" t="str">
        <f t="shared" si="72"/>
        <v>02406911202</v>
      </c>
      <c r="C1738" t="s">
        <v>13</v>
      </c>
      <c r="D1738" t="s">
        <v>794</v>
      </c>
      <c r="E1738" t="s">
        <v>1290</v>
      </c>
      <c r="F1738" t="s">
        <v>796</v>
      </c>
      <c r="G1738" t="str">
        <f>"03774360378"</f>
        <v>03774360378</v>
      </c>
      <c r="I1738" t="s">
        <v>1311</v>
      </c>
      <c r="L1738" t="s">
        <v>41</v>
      </c>
      <c r="M1738">
        <v>1248</v>
      </c>
      <c r="AG1738">
        <v>1248.09</v>
      </c>
      <c r="AH1738" s="1">
        <v>41451</v>
      </c>
      <c r="AI1738" s="1">
        <v>41463</v>
      </c>
      <c r="AJ1738" s="1">
        <v>41451</v>
      </c>
    </row>
    <row r="1739" spans="1:36" ht="15">
      <c r="A1739" t="str">
        <f>"Z3608E8412"</f>
        <v>Z3608E8412</v>
      </c>
      <c r="B1739" t="str">
        <f t="shared" si="72"/>
        <v>02406911202</v>
      </c>
      <c r="C1739" t="s">
        <v>13</v>
      </c>
      <c r="D1739" t="s">
        <v>794</v>
      </c>
      <c r="E1739" t="s">
        <v>1284</v>
      </c>
      <c r="F1739" t="s">
        <v>796</v>
      </c>
      <c r="G1739" t="str">
        <f>"00502961204"</f>
        <v>00502961204</v>
      </c>
      <c r="I1739" t="s">
        <v>361</v>
      </c>
      <c r="L1739" t="s">
        <v>41</v>
      </c>
      <c r="M1739">
        <v>300</v>
      </c>
      <c r="AG1739">
        <v>300</v>
      </c>
      <c r="AH1739" s="1">
        <v>41275</v>
      </c>
      <c r="AI1739" s="1">
        <v>41639</v>
      </c>
      <c r="AJ1739" s="1">
        <v>41275</v>
      </c>
    </row>
    <row r="1740" spans="1:36" ht="15">
      <c r="A1740" t="str">
        <f>"Z360C541E9"</f>
        <v>Z360C541E9</v>
      </c>
      <c r="B1740" t="str">
        <f t="shared" si="72"/>
        <v>02406911202</v>
      </c>
      <c r="C1740" t="s">
        <v>13</v>
      </c>
      <c r="D1740" t="s">
        <v>794</v>
      </c>
      <c r="E1740" t="s">
        <v>1284</v>
      </c>
      <c r="F1740" t="s">
        <v>796</v>
      </c>
      <c r="G1740" t="str">
        <f>"01554711208"</f>
        <v>01554711208</v>
      </c>
      <c r="I1740" t="s">
        <v>836</v>
      </c>
      <c r="L1740" t="s">
        <v>41</v>
      </c>
      <c r="M1740">
        <v>2135.42</v>
      </c>
      <c r="AG1740">
        <v>0</v>
      </c>
      <c r="AH1740" s="1">
        <v>41598</v>
      </c>
      <c r="AI1740" s="1">
        <v>41608</v>
      </c>
      <c r="AJ1740" s="1">
        <v>41598</v>
      </c>
    </row>
    <row r="1741" spans="1:36" ht="15">
      <c r="A1741" t="str">
        <f>"Z370C1C3FE"</f>
        <v>Z370C1C3FE</v>
      </c>
      <c r="B1741" t="str">
        <f t="shared" si="72"/>
        <v>02406911202</v>
      </c>
      <c r="C1741" t="s">
        <v>13</v>
      </c>
      <c r="D1741" t="s">
        <v>794</v>
      </c>
      <c r="E1741" t="s">
        <v>1284</v>
      </c>
      <c r="F1741" t="s">
        <v>796</v>
      </c>
      <c r="G1741" t="str">
        <f>"04286500378"</f>
        <v>04286500378</v>
      </c>
      <c r="I1741" t="s">
        <v>1312</v>
      </c>
      <c r="L1741" t="s">
        <v>41</v>
      </c>
      <c r="M1741">
        <v>1200</v>
      </c>
      <c r="AG1741">
        <v>1200</v>
      </c>
      <c r="AH1741" s="1">
        <v>41575</v>
      </c>
      <c r="AI1741" s="1">
        <v>41585</v>
      </c>
      <c r="AJ1741" s="1">
        <v>41575</v>
      </c>
    </row>
    <row r="1742" spans="1:36" ht="15">
      <c r="A1742" t="str">
        <f>"Z3B03093EE"</f>
        <v>Z3B03093EE</v>
      </c>
      <c r="B1742" t="str">
        <f t="shared" si="72"/>
        <v>02406911202</v>
      </c>
      <c r="C1742" t="s">
        <v>13</v>
      </c>
      <c r="D1742" t="s">
        <v>794</v>
      </c>
      <c r="E1742" t="s">
        <v>1284</v>
      </c>
      <c r="F1742" t="s">
        <v>796</v>
      </c>
      <c r="G1742" t="str">
        <f>"03066530712"</f>
        <v>03066530712</v>
      </c>
      <c r="I1742" t="s">
        <v>1313</v>
      </c>
      <c r="L1742" t="s">
        <v>41</v>
      </c>
      <c r="M1742">
        <v>571.2</v>
      </c>
      <c r="AG1742">
        <v>571.2</v>
      </c>
      <c r="AH1742" s="1">
        <v>41452</v>
      </c>
      <c r="AI1742" s="1">
        <v>41462</v>
      </c>
      <c r="AJ1742" s="1">
        <v>41452</v>
      </c>
    </row>
    <row r="1743" spans="1:36" ht="15">
      <c r="A1743" t="str">
        <f>"Z3B09093EE"</f>
        <v>Z3B09093EE</v>
      </c>
      <c r="B1743" t="str">
        <f t="shared" si="72"/>
        <v>02406911202</v>
      </c>
      <c r="C1743" t="s">
        <v>13</v>
      </c>
      <c r="D1743" t="s">
        <v>794</v>
      </c>
      <c r="E1743" t="s">
        <v>1284</v>
      </c>
      <c r="F1743" t="s">
        <v>796</v>
      </c>
      <c r="G1743" t="str">
        <f>"03066530712"</f>
        <v>03066530712</v>
      </c>
      <c r="I1743" t="s">
        <v>1313</v>
      </c>
      <c r="L1743" t="s">
        <v>41</v>
      </c>
      <c r="M1743">
        <v>2080.8</v>
      </c>
      <c r="AG1743">
        <v>2080.8</v>
      </c>
      <c r="AH1743" s="1">
        <v>41344</v>
      </c>
      <c r="AI1743" s="1">
        <v>41412</v>
      </c>
      <c r="AJ1743" s="1">
        <v>41344</v>
      </c>
    </row>
    <row r="1744" spans="1:36" ht="15">
      <c r="A1744" t="str">
        <f>"Z400966892"</f>
        <v>Z400966892</v>
      </c>
      <c r="B1744" t="str">
        <f t="shared" si="72"/>
        <v>02406911202</v>
      </c>
      <c r="C1744" t="s">
        <v>13</v>
      </c>
      <c r="D1744" t="s">
        <v>794</v>
      </c>
      <c r="E1744" t="s">
        <v>1303</v>
      </c>
      <c r="F1744" t="s">
        <v>796</v>
      </c>
      <c r="G1744" t="str">
        <f>"10498780153"</f>
        <v>10498780153</v>
      </c>
      <c r="I1744" t="s">
        <v>1314</v>
      </c>
      <c r="L1744" t="s">
        <v>41</v>
      </c>
      <c r="M1744">
        <v>1472</v>
      </c>
      <c r="AG1744">
        <v>1472</v>
      </c>
      <c r="AH1744" s="1">
        <v>41372</v>
      </c>
      <c r="AI1744" s="1">
        <v>41461</v>
      </c>
      <c r="AJ1744" s="1">
        <v>41372</v>
      </c>
    </row>
    <row r="1745" spans="1:36" ht="15">
      <c r="A1745" t="str">
        <f>"Z430966A5C"</f>
        <v>Z430966A5C</v>
      </c>
      <c r="B1745" t="str">
        <f t="shared" si="72"/>
        <v>02406911202</v>
      </c>
      <c r="C1745" t="s">
        <v>13</v>
      </c>
      <c r="D1745" t="s">
        <v>794</v>
      </c>
      <c r="E1745" t="s">
        <v>1297</v>
      </c>
      <c r="F1745" t="s">
        <v>796</v>
      </c>
      <c r="G1745" t="str">
        <f>"00226170157"</f>
        <v>00226170157</v>
      </c>
      <c r="I1745" t="s">
        <v>1315</v>
      </c>
      <c r="L1745" t="s">
        <v>41</v>
      </c>
      <c r="M1745">
        <v>1708</v>
      </c>
      <c r="AG1745">
        <v>1708</v>
      </c>
      <c r="AH1745" s="1">
        <v>41372</v>
      </c>
      <c r="AI1745" s="1">
        <v>41382</v>
      </c>
      <c r="AJ1745" s="1">
        <v>41372</v>
      </c>
    </row>
    <row r="1746" spans="1:36" ht="15">
      <c r="A1746" t="str">
        <f>"Z470D68A72"</f>
        <v>Z470D68A72</v>
      </c>
      <c r="B1746" t="str">
        <f t="shared" si="72"/>
        <v>02406911202</v>
      </c>
      <c r="C1746" t="s">
        <v>13</v>
      </c>
      <c r="D1746" t="s">
        <v>794</v>
      </c>
      <c r="E1746" t="s">
        <v>1307</v>
      </c>
      <c r="F1746" t="s">
        <v>796</v>
      </c>
      <c r="G1746" t="str">
        <f>"01729590032"</f>
        <v>01729590032</v>
      </c>
      <c r="I1746" t="s">
        <v>1316</v>
      </c>
      <c r="L1746" t="s">
        <v>41</v>
      </c>
      <c r="M1746">
        <v>16500</v>
      </c>
      <c r="AG1746">
        <v>17380</v>
      </c>
      <c r="AH1746" s="1">
        <v>41639</v>
      </c>
      <c r="AI1746" s="1">
        <v>41649</v>
      </c>
      <c r="AJ1746" s="1">
        <v>41639</v>
      </c>
    </row>
    <row r="1747" spans="1:36" ht="15">
      <c r="A1747" t="str">
        <f>"Z48088238A"</f>
        <v>Z48088238A</v>
      </c>
      <c r="B1747" t="str">
        <f t="shared" si="72"/>
        <v>02406911202</v>
      </c>
      <c r="C1747" t="s">
        <v>13</v>
      </c>
      <c r="D1747" t="s">
        <v>794</v>
      </c>
      <c r="E1747" t="s">
        <v>1317</v>
      </c>
      <c r="F1747" t="s">
        <v>796</v>
      </c>
      <c r="G1747" t="str">
        <f>"02225481205"</f>
        <v>02225481205</v>
      </c>
      <c r="I1747" t="s">
        <v>1318</v>
      </c>
      <c r="L1747" t="s">
        <v>41</v>
      </c>
      <c r="M1747">
        <v>85.25</v>
      </c>
      <c r="AG1747">
        <v>85.25</v>
      </c>
      <c r="AH1747" s="1">
        <v>41451</v>
      </c>
      <c r="AI1747" s="1">
        <v>41461</v>
      </c>
      <c r="AJ1747" s="1">
        <v>41451</v>
      </c>
    </row>
    <row r="1748" spans="1:36" ht="15">
      <c r="A1748" t="str">
        <f>"Z540D90464"</f>
        <v>Z540D90464</v>
      </c>
      <c r="B1748" t="str">
        <f t="shared" si="72"/>
        <v>02406911202</v>
      </c>
      <c r="C1748" t="s">
        <v>13</v>
      </c>
      <c r="D1748" t="s">
        <v>794</v>
      </c>
      <c r="E1748" t="s">
        <v>1319</v>
      </c>
      <c r="F1748" t="s">
        <v>796</v>
      </c>
      <c r="G1748" t="str">
        <f>"02142680376"</f>
        <v>02142680376</v>
      </c>
      <c r="I1748" t="s">
        <v>1320</v>
      </c>
      <c r="L1748" t="s">
        <v>41</v>
      </c>
      <c r="M1748">
        <v>1990</v>
      </c>
      <c r="AG1748">
        <v>0</v>
      </c>
      <c r="AH1748" s="1">
        <v>41275</v>
      </c>
      <c r="AI1748" s="1">
        <v>41639</v>
      </c>
      <c r="AJ1748" s="1">
        <v>41275</v>
      </c>
    </row>
    <row r="1749" spans="1:36" ht="15">
      <c r="A1749" t="str">
        <f>"Z570B13D12"</f>
        <v>Z570B13D12</v>
      </c>
      <c r="B1749" t="str">
        <f t="shared" si="72"/>
        <v>02406911202</v>
      </c>
      <c r="C1749" t="s">
        <v>13</v>
      </c>
      <c r="D1749" t="s">
        <v>794</v>
      </c>
      <c r="E1749" t="s">
        <v>1321</v>
      </c>
      <c r="F1749" t="s">
        <v>796</v>
      </c>
      <c r="G1749" t="str">
        <f>"01536260381"</f>
        <v>01536260381</v>
      </c>
      <c r="I1749" t="s">
        <v>1322</v>
      </c>
      <c r="L1749" t="s">
        <v>41</v>
      </c>
      <c r="M1749">
        <v>6487.64</v>
      </c>
      <c r="AG1749">
        <v>6487.64</v>
      </c>
      <c r="AH1749" s="1">
        <v>41486</v>
      </c>
      <c r="AI1749" s="1">
        <v>41496</v>
      </c>
      <c r="AJ1749" s="1">
        <v>41486</v>
      </c>
    </row>
    <row r="1750" spans="1:36" ht="15">
      <c r="A1750" t="str">
        <f>"Z5C0BB0493"</f>
        <v>Z5C0BB0493</v>
      </c>
      <c r="B1750" t="str">
        <f t="shared" si="72"/>
        <v>02406911202</v>
      </c>
      <c r="C1750" t="s">
        <v>13</v>
      </c>
      <c r="D1750" t="s">
        <v>794</v>
      </c>
      <c r="E1750" t="s">
        <v>1293</v>
      </c>
      <c r="F1750" t="s">
        <v>796</v>
      </c>
      <c r="G1750" t="str">
        <f>"04311080370"</f>
        <v>04311080370</v>
      </c>
      <c r="I1750" t="s">
        <v>932</v>
      </c>
      <c r="L1750" t="s">
        <v>41</v>
      </c>
      <c r="M1750">
        <v>280</v>
      </c>
      <c r="AG1750">
        <v>280</v>
      </c>
      <c r="AH1750" s="1">
        <v>41547</v>
      </c>
      <c r="AI1750" s="1">
        <v>41557</v>
      </c>
      <c r="AJ1750" s="1">
        <v>41547</v>
      </c>
    </row>
    <row r="1751" spans="1:36" ht="15">
      <c r="A1751" t="str">
        <f>"Z65095C5FB"</f>
        <v>Z65095C5FB</v>
      </c>
      <c r="B1751" t="str">
        <f t="shared" si="72"/>
        <v>02406911202</v>
      </c>
      <c r="C1751" t="s">
        <v>13</v>
      </c>
      <c r="D1751" t="s">
        <v>794</v>
      </c>
      <c r="E1751" t="s">
        <v>1292</v>
      </c>
      <c r="F1751" t="s">
        <v>796</v>
      </c>
      <c r="G1751" t="str">
        <f>"00820960383"</f>
        <v>00820960383</v>
      </c>
      <c r="I1751" t="s">
        <v>1323</v>
      </c>
      <c r="L1751" t="s">
        <v>41</v>
      </c>
      <c r="M1751">
        <v>2138.25</v>
      </c>
      <c r="AG1751">
        <v>2138.25</v>
      </c>
      <c r="AH1751" s="1">
        <v>41334</v>
      </c>
      <c r="AI1751" s="1">
        <v>41344</v>
      </c>
      <c r="AJ1751" s="1">
        <v>41334</v>
      </c>
    </row>
    <row r="1752" spans="1:36" ht="15">
      <c r="A1752" t="str">
        <f>"Z6D0D8F785"</f>
        <v>Z6D0D8F785</v>
      </c>
      <c r="B1752" t="str">
        <f t="shared" si="72"/>
        <v>02406911202</v>
      </c>
      <c r="C1752" t="s">
        <v>13</v>
      </c>
      <c r="D1752" t="s">
        <v>794</v>
      </c>
      <c r="E1752" t="s">
        <v>1324</v>
      </c>
      <c r="F1752" t="s">
        <v>796</v>
      </c>
      <c r="G1752" t="str">
        <f>"01836881209"</f>
        <v>01836881209</v>
      </c>
      <c r="I1752" t="s">
        <v>1325</v>
      </c>
      <c r="L1752" t="s">
        <v>41</v>
      </c>
      <c r="M1752">
        <v>128.1</v>
      </c>
      <c r="AG1752">
        <v>0</v>
      </c>
      <c r="AH1752" s="1">
        <v>41275</v>
      </c>
      <c r="AI1752" s="1">
        <v>41639</v>
      </c>
      <c r="AJ1752" s="1">
        <v>41275</v>
      </c>
    </row>
    <row r="1753" spans="1:36" ht="15">
      <c r="A1753" t="str">
        <f>"Z7408821AC"</f>
        <v>Z7408821AC</v>
      </c>
      <c r="B1753" t="str">
        <f t="shared" si="72"/>
        <v>02406911202</v>
      </c>
      <c r="C1753" t="s">
        <v>13</v>
      </c>
      <c r="D1753" t="s">
        <v>794</v>
      </c>
      <c r="E1753" t="s">
        <v>1305</v>
      </c>
      <c r="F1753" t="s">
        <v>796</v>
      </c>
      <c r="G1753" t="str">
        <f>"00642951206"</f>
        <v>00642951206</v>
      </c>
      <c r="I1753" t="s">
        <v>1326</v>
      </c>
      <c r="L1753" t="s">
        <v>41</v>
      </c>
      <c r="M1753">
        <v>472.36</v>
      </c>
      <c r="AG1753">
        <v>465.58</v>
      </c>
      <c r="AH1753" s="1">
        <v>41348</v>
      </c>
      <c r="AI1753" s="1">
        <v>41358</v>
      </c>
      <c r="AJ1753" s="1">
        <v>41348</v>
      </c>
    </row>
    <row r="1754" spans="1:36" ht="15">
      <c r="A1754" t="str">
        <f>"Z7C0706BC9"</f>
        <v>Z7C0706BC9</v>
      </c>
      <c r="B1754" t="str">
        <f t="shared" si="72"/>
        <v>02406911202</v>
      </c>
      <c r="C1754" t="s">
        <v>13</v>
      </c>
      <c r="D1754" t="s">
        <v>794</v>
      </c>
      <c r="E1754" t="s">
        <v>1284</v>
      </c>
      <c r="F1754" t="s">
        <v>796</v>
      </c>
      <c r="G1754" t="str">
        <f>"00640941209"</f>
        <v>00640941209</v>
      </c>
      <c r="I1754" t="s">
        <v>1327</v>
      </c>
      <c r="L1754" t="s">
        <v>41</v>
      </c>
      <c r="M1754">
        <v>3355.46</v>
      </c>
      <c r="AG1754">
        <v>2959.68</v>
      </c>
      <c r="AH1754" s="1">
        <v>41564</v>
      </c>
      <c r="AI1754" s="1">
        <v>41574</v>
      </c>
      <c r="AJ1754" s="1">
        <v>41564</v>
      </c>
    </row>
    <row r="1755" spans="1:36" ht="15">
      <c r="A1755" t="str">
        <f>"Z7E0B6EDC6"</f>
        <v>Z7E0B6EDC6</v>
      </c>
      <c r="B1755" t="str">
        <f t="shared" si="72"/>
        <v>02406911202</v>
      </c>
      <c r="C1755" t="s">
        <v>13</v>
      </c>
      <c r="D1755" t="s">
        <v>794</v>
      </c>
      <c r="E1755" t="s">
        <v>1290</v>
      </c>
      <c r="F1755" t="s">
        <v>796</v>
      </c>
      <c r="G1755" t="str">
        <f>"01950461200"</f>
        <v>01950461200</v>
      </c>
      <c r="I1755" t="s">
        <v>1328</v>
      </c>
      <c r="L1755" t="s">
        <v>41</v>
      </c>
      <c r="M1755">
        <v>8900</v>
      </c>
      <c r="AG1755">
        <v>8900</v>
      </c>
      <c r="AH1755" s="1">
        <v>41530</v>
      </c>
      <c r="AI1755" s="1">
        <v>41540</v>
      </c>
      <c r="AJ1755" s="1">
        <v>41530</v>
      </c>
    </row>
    <row r="1756" spans="1:36" ht="15">
      <c r="A1756" t="str">
        <f>"Z80084D6C3"</f>
        <v>Z80084D6C3</v>
      </c>
      <c r="B1756" t="str">
        <f t="shared" si="72"/>
        <v>02406911202</v>
      </c>
      <c r="C1756" t="s">
        <v>13</v>
      </c>
      <c r="D1756" t="s">
        <v>794</v>
      </c>
      <c r="E1756" t="s">
        <v>1329</v>
      </c>
      <c r="F1756" t="s">
        <v>796</v>
      </c>
      <c r="G1756" t="str">
        <f>"01717071201"</f>
        <v>01717071201</v>
      </c>
      <c r="I1756" t="s">
        <v>1291</v>
      </c>
      <c r="L1756" t="s">
        <v>41</v>
      </c>
      <c r="M1756">
        <v>10498</v>
      </c>
      <c r="AG1756">
        <v>9627.91</v>
      </c>
      <c r="AH1756" s="1">
        <v>41275</v>
      </c>
      <c r="AI1756" s="1">
        <v>41639</v>
      </c>
      <c r="AJ1756" s="1">
        <v>41275</v>
      </c>
    </row>
    <row r="1757" spans="1:36" ht="15">
      <c r="A1757" t="str">
        <f>"Z820D90310"</f>
        <v>Z820D90310</v>
      </c>
      <c r="B1757" t="str">
        <f t="shared" si="72"/>
        <v>02406911202</v>
      </c>
      <c r="C1757" t="s">
        <v>13</v>
      </c>
      <c r="D1757" t="s">
        <v>794</v>
      </c>
      <c r="E1757" t="s">
        <v>1295</v>
      </c>
      <c r="F1757" t="s">
        <v>796</v>
      </c>
      <c r="G1757" t="str">
        <f>"04022280285"</f>
        <v>04022280285</v>
      </c>
      <c r="I1757" t="s">
        <v>1330</v>
      </c>
      <c r="L1757" t="s">
        <v>41</v>
      </c>
      <c r="M1757">
        <v>383.2</v>
      </c>
      <c r="AG1757">
        <v>383.2</v>
      </c>
      <c r="AH1757" s="1">
        <v>41275</v>
      </c>
      <c r="AI1757" s="1">
        <v>41639</v>
      </c>
      <c r="AJ1757" s="1">
        <v>41275</v>
      </c>
    </row>
    <row r="1758" spans="1:36" ht="15">
      <c r="A1758" t="str">
        <f>"Z840A9045E"</f>
        <v>Z840A9045E</v>
      </c>
      <c r="B1758" t="str">
        <f t="shared" si="72"/>
        <v>02406911202</v>
      </c>
      <c r="C1758" t="s">
        <v>13</v>
      </c>
      <c r="D1758" t="s">
        <v>794</v>
      </c>
      <c r="E1758" t="s">
        <v>1331</v>
      </c>
      <c r="F1758" t="s">
        <v>796</v>
      </c>
      <c r="G1758" t="str">
        <f>"03071641207"</f>
        <v>03071641207</v>
      </c>
      <c r="I1758" t="s">
        <v>909</v>
      </c>
      <c r="L1758" t="s">
        <v>41</v>
      </c>
      <c r="M1758">
        <v>17895</v>
      </c>
      <c r="AG1758">
        <v>17895.32</v>
      </c>
      <c r="AH1758" s="1">
        <v>41451</v>
      </c>
      <c r="AI1758" s="1">
        <v>41565</v>
      </c>
      <c r="AJ1758" s="1">
        <v>41451</v>
      </c>
    </row>
    <row r="1759" spans="1:36" ht="15">
      <c r="A1759" t="str">
        <f>"Z86090327D"</f>
        <v>Z86090327D</v>
      </c>
      <c r="B1759" t="str">
        <f t="shared" si="72"/>
        <v>02406911202</v>
      </c>
      <c r="C1759" t="s">
        <v>13</v>
      </c>
      <c r="D1759" t="s">
        <v>794</v>
      </c>
      <c r="E1759" t="s">
        <v>1305</v>
      </c>
      <c r="F1759" t="s">
        <v>796</v>
      </c>
      <c r="G1759" t="str">
        <f>"10907840150"</f>
        <v>10907840150</v>
      </c>
      <c r="I1759" t="s">
        <v>1332</v>
      </c>
      <c r="L1759" t="s">
        <v>41</v>
      </c>
      <c r="M1759">
        <v>880</v>
      </c>
      <c r="AG1759">
        <v>880</v>
      </c>
      <c r="AH1759" s="1">
        <v>41341</v>
      </c>
      <c r="AI1759" s="1">
        <v>41530</v>
      </c>
      <c r="AJ1759" s="1">
        <v>41341</v>
      </c>
    </row>
    <row r="1760" spans="1:36" ht="15">
      <c r="A1760" t="str">
        <f>"Z8C088233D"</f>
        <v>Z8C088233D</v>
      </c>
      <c r="B1760" t="str">
        <f t="shared" si="72"/>
        <v>02406911202</v>
      </c>
      <c r="C1760" t="s">
        <v>13</v>
      </c>
      <c r="D1760" t="s">
        <v>794</v>
      </c>
      <c r="E1760" t="s">
        <v>1284</v>
      </c>
      <c r="F1760" t="s">
        <v>796</v>
      </c>
      <c r="G1760" t="str">
        <f>"00751160151"</f>
        <v>00751160151</v>
      </c>
      <c r="I1760" t="s">
        <v>48</v>
      </c>
      <c r="L1760" t="s">
        <v>41</v>
      </c>
      <c r="M1760">
        <v>4500</v>
      </c>
      <c r="AG1760">
        <v>4500</v>
      </c>
      <c r="AH1760" s="1">
        <v>41369</v>
      </c>
      <c r="AI1760" s="1">
        <v>41379</v>
      </c>
      <c r="AJ1760" s="1">
        <v>41369</v>
      </c>
    </row>
    <row r="1761" spans="1:36" ht="15">
      <c r="A1761" t="str">
        <f>"Z8C0967631"</f>
        <v>Z8C0967631</v>
      </c>
      <c r="B1761" t="str">
        <f t="shared" si="72"/>
        <v>02406911202</v>
      </c>
      <c r="C1761" t="s">
        <v>13</v>
      </c>
      <c r="D1761" t="s">
        <v>794</v>
      </c>
      <c r="E1761" t="s">
        <v>1297</v>
      </c>
      <c r="F1761" t="s">
        <v>796</v>
      </c>
      <c r="G1761" t="str">
        <f>"02359010960"</f>
        <v>02359010960</v>
      </c>
      <c r="I1761" t="s">
        <v>1333</v>
      </c>
      <c r="L1761" t="s">
        <v>41</v>
      </c>
      <c r="M1761">
        <v>990</v>
      </c>
      <c r="AG1761">
        <v>990</v>
      </c>
      <c r="AH1761" s="1">
        <v>41372</v>
      </c>
      <c r="AI1761" s="1">
        <v>41382</v>
      </c>
      <c r="AJ1761" s="1">
        <v>41372</v>
      </c>
    </row>
    <row r="1762" spans="1:36" ht="15">
      <c r="A1762" t="str">
        <f>"Z8F0ADEB64"</f>
        <v>Z8F0ADEB64</v>
      </c>
      <c r="B1762" t="str">
        <f t="shared" si="72"/>
        <v>02406911202</v>
      </c>
      <c r="C1762" t="s">
        <v>13</v>
      </c>
      <c r="D1762" t="s">
        <v>794</v>
      </c>
      <c r="E1762" t="s">
        <v>1334</v>
      </c>
      <c r="F1762" t="s">
        <v>796</v>
      </c>
      <c r="G1762" t="str">
        <f>"01717071201"</f>
        <v>01717071201</v>
      </c>
      <c r="I1762" t="s">
        <v>1291</v>
      </c>
      <c r="L1762" t="s">
        <v>41</v>
      </c>
      <c r="M1762">
        <v>3041</v>
      </c>
      <c r="AG1762">
        <v>0</v>
      </c>
      <c r="AH1762" s="1">
        <v>41275</v>
      </c>
      <c r="AI1762" s="1">
        <v>41639</v>
      </c>
      <c r="AJ1762" s="1">
        <v>41275</v>
      </c>
    </row>
    <row r="1763" spans="1:36" ht="15">
      <c r="A1763" t="str">
        <f>"Z8F0CEA96B"</f>
        <v>Z8F0CEA96B</v>
      </c>
      <c r="B1763" t="str">
        <f t="shared" si="72"/>
        <v>02406911202</v>
      </c>
      <c r="C1763" t="s">
        <v>13</v>
      </c>
      <c r="D1763" t="s">
        <v>794</v>
      </c>
      <c r="E1763" t="s">
        <v>1288</v>
      </c>
      <c r="F1763" t="s">
        <v>796</v>
      </c>
      <c r="G1763" t="str">
        <f>"03831290287"</f>
        <v>03831290287</v>
      </c>
      <c r="I1763" t="s">
        <v>206</v>
      </c>
      <c r="L1763" t="s">
        <v>41</v>
      </c>
      <c r="M1763">
        <v>1631</v>
      </c>
      <c r="AG1763">
        <v>1631</v>
      </c>
      <c r="AH1763" s="1">
        <v>41621</v>
      </c>
      <c r="AI1763" s="1">
        <v>41631</v>
      </c>
      <c r="AJ1763" s="1">
        <v>41621</v>
      </c>
    </row>
    <row r="1764" spans="1:36" ht="15">
      <c r="A1764" t="str">
        <f>"Z910D8F47A"</f>
        <v>Z910D8F47A</v>
      </c>
      <c r="B1764" t="str">
        <f t="shared" si="72"/>
        <v>02406911202</v>
      </c>
      <c r="C1764" t="s">
        <v>13</v>
      </c>
      <c r="D1764" t="s">
        <v>794</v>
      </c>
      <c r="E1764" t="s">
        <v>1295</v>
      </c>
      <c r="F1764" t="s">
        <v>796</v>
      </c>
      <c r="G1764" t="str">
        <f>"00612660399"</f>
        <v>00612660399</v>
      </c>
      <c r="I1764" t="s">
        <v>1335</v>
      </c>
      <c r="L1764" t="s">
        <v>41</v>
      </c>
      <c r="M1764">
        <v>1000</v>
      </c>
      <c r="AG1764">
        <v>0</v>
      </c>
      <c r="AH1764" s="1">
        <v>41275</v>
      </c>
      <c r="AI1764" s="1">
        <v>41639</v>
      </c>
      <c r="AJ1764" s="1">
        <v>41275</v>
      </c>
    </row>
    <row r="1765" spans="1:36" ht="15">
      <c r="A1765" t="str">
        <f>"Z97081C7AF"</f>
        <v>Z97081C7AF</v>
      </c>
      <c r="B1765" t="str">
        <f t="shared" si="72"/>
        <v>02406911202</v>
      </c>
      <c r="C1765" t="s">
        <v>13</v>
      </c>
      <c r="D1765" t="s">
        <v>794</v>
      </c>
      <c r="E1765" t="s">
        <v>1288</v>
      </c>
      <c r="F1765" t="s">
        <v>796</v>
      </c>
      <c r="G1765" t="str">
        <f>"02488210408"</f>
        <v>02488210408</v>
      </c>
      <c r="I1765" t="s">
        <v>1336</v>
      </c>
      <c r="L1765" t="s">
        <v>41</v>
      </c>
      <c r="M1765">
        <v>1290</v>
      </c>
      <c r="AG1765">
        <v>4750</v>
      </c>
      <c r="AH1765" s="1">
        <v>41568</v>
      </c>
      <c r="AI1765" s="1">
        <v>41578</v>
      </c>
      <c r="AJ1765" s="1">
        <v>41568</v>
      </c>
    </row>
    <row r="1766" spans="1:36" ht="15">
      <c r="A1766" t="str">
        <f>"Z9708C89D2"</f>
        <v>Z9708C89D2</v>
      </c>
      <c r="B1766" t="str">
        <f t="shared" si="72"/>
        <v>02406911202</v>
      </c>
      <c r="C1766" t="s">
        <v>13</v>
      </c>
      <c r="D1766" t="s">
        <v>794</v>
      </c>
      <c r="E1766" t="s">
        <v>1321</v>
      </c>
      <c r="F1766" t="s">
        <v>796</v>
      </c>
      <c r="G1766" t="str">
        <f>"00592861207"</f>
        <v>00592861207</v>
      </c>
      <c r="I1766" t="s">
        <v>1337</v>
      </c>
      <c r="L1766" t="s">
        <v>41</v>
      </c>
      <c r="M1766">
        <v>5940</v>
      </c>
      <c r="AG1766">
        <v>5940</v>
      </c>
      <c r="AH1766" s="1">
        <v>41326</v>
      </c>
      <c r="AI1766" s="1">
        <v>41336</v>
      </c>
      <c r="AJ1766" s="1">
        <v>41326</v>
      </c>
    </row>
    <row r="1767" spans="1:36" ht="15">
      <c r="A1767" t="str">
        <f>"Z99098CDD2"</f>
        <v>Z99098CDD2</v>
      </c>
      <c r="B1767" t="str">
        <f t="shared" si="72"/>
        <v>02406911202</v>
      </c>
      <c r="C1767" t="s">
        <v>13</v>
      </c>
      <c r="D1767" t="s">
        <v>794</v>
      </c>
      <c r="E1767" t="s">
        <v>1338</v>
      </c>
      <c r="F1767" t="s">
        <v>796</v>
      </c>
      <c r="G1767" t="str">
        <f>"03626210961"</f>
        <v>03626210961</v>
      </c>
      <c r="I1767" t="s">
        <v>1339</v>
      </c>
      <c r="L1767" t="s">
        <v>41</v>
      </c>
      <c r="M1767">
        <v>20500</v>
      </c>
      <c r="AG1767">
        <v>10500</v>
      </c>
      <c r="AH1767" s="1">
        <v>41381</v>
      </c>
      <c r="AI1767" s="1">
        <v>41413</v>
      </c>
      <c r="AJ1767" s="1">
        <v>41381</v>
      </c>
    </row>
    <row r="1768" spans="1:36" ht="15">
      <c r="A1768" t="str">
        <f>"Z9B0ADEAB4"</f>
        <v>Z9B0ADEAB4</v>
      </c>
      <c r="B1768" t="str">
        <f t="shared" si="72"/>
        <v>02406911202</v>
      </c>
      <c r="C1768" t="s">
        <v>13</v>
      </c>
      <c r="D1768" t="s">
        <v>794</v>
      </c>
      <c r="E1768" t="s">
        <v>1290</v>
      </c>
      <c r="F1768" t="s">
        <v>796</v>
      </c>
      <c r="G1768" t="str">
        <f>"00587161209"</f>
        <v>00587161209</v>
      </c>
      <c r="I1768" t="s">
        <v>1340</v>
      </c>
      <c r="L1768" t="s">
        <v>41</v>
      </c>
      <c r="M1768">
        <v>8130</v>
      </c>
      <c r="AG1768">
        <v>8941.23</v>
      </c>
      <c r="AH1768" s="1">
        <v>41478</v>
      </c>
      <c r="AI1768" s="1">
        <v>41488</v>
      </c>
      <c r="AJ1768" s="1">
        <v>41478</v>
      </c>
    </row>
    <row r="1769" spans="1:36" ht="15">
      <c r="A1769" t="str">
        <f>"Z9F04241D3"</f>
        <v>Z9F04241D3</v>
      </c>
      <c r="B1769" t="str">
        <f t="shared" si="72"/>
        <v>02406911202</v>
      </c>
      <c r="C1769" t="s">
        <v>13</v>
      </c>
      <c r="D1769" t="s">
        <v>794</v>
      </c>
      <c r="E1769" t="s">
        <v>1290</v>
      </c>
      <c r="F1769" t="s">
        <v>796</v>
      </c>
      <c r="G1769" t="str">
        <f>"00512881202"</f>
        <v>00512881202</v>
      </c>
      <c r="I1769" t="s">
        <v>1341</v>
      </c>
      <c r="L1769" t="s">
        <v>41</v>
      </c>
      <c r="M1769">
        <v>600.61</v>
      </c>
      <c r="AG1769">
        <v>219.76</v>
      </c>
      <c r="AH1769" s="1">
        <v>41414</v>
      </c>
      <c r="AI1769" s="1">
        <v>41424</v>
      </c>
      <c r="AJ1769" s="1">
        <v>41414</v>
      </c>
    </row>
    <row r="1770" spans="1:36" ht="15">
      <c r="A1770" t="str">
        <f>"ZA006E7C8C"</f>
        <v>ZA006E7C8C</v>
      </c>
      <c r="B1770" t="str">
        <f t="shared" si="72"/>
        <v>02406911202</v>
      </c>
      <c r="C1770" t="s">
        <v>13</v>
      </c>
      <c r="D1770" t="s">
        <v>794</v>
      </c>
      <c r="E1770" t="s">
        <v>1299</v>
      </c>
      <c r="F1770" t="s">
        <v>796</v>
      </c>
      <c r="G1770" t="str">
        <f>"00542771209"</f>
        <v>00542771209</v>
      </c>
      <c r="I1770" t="s">
        <v>1309</v>
      </c>
      <c r="L1770" t="s">
        <v>41</v>
      </c>
      <c r="M1770">
        <v>2724</v>
      </c>
      <c r="AG1770">
        <v>2724</v>
      </c>
      <c r="AH1770" s="1">
        <v>41429</v>
      </c>
      <c r="AI1770" s="1">
        <v>41613</v>
      </c>
      <c r="AJ1770" s="1">
        <v>41429</v>
      </c>
    </row>
    <row r="1771" spans="1:36" ht="15">
      <c r="A1771" t="str">
        <f>"ZA104CEEEE"</f>
        <v>ZA104CEEEE</v>
      </c>
      <c r="B1771" t="str">
        <f t="shared" si="72"/>
        <v>02406911202</v>
      </c>
      <c r="C1771" t="s">
        <v>13</v>
      </c>
      <c r="D1771" t="s">
        <v>794</v>
      </c>
      <c r="E1771" t="s">
        <v>1317</v>
      </c>
      <c r="F1771" t="s">
        <v>796</v>
      </c>
      <c r="G1771" t="str">
        <f>"02060701204"</f>
        <v>02060701204</v>
      </c>
      <c r="I1771" t="s">
        <v>1342</v>
      </c>
      <c r="L1771" t="s">
        <v>41</v>
      </c>
      <c r="M1771">
        <v>159</v>
      </c>
      <c r="AG1771">
        <v>43041.29</v>
      </c>
      <c r="AH1771" s="1">
        <v>41544</v>
      </c>
      <c r="AI1771" s="1">
        <v>41554</v>
      </c>
      <c r="AJ1771" s="1">
        <v>41544</v>
      </c>
    </row>
    <row r="1772" spans="1:36" ht="15">
      <c r="A1772" t="str">
        <f>"ZA10C03AF6"</f>
        <v>ZA10C03AF6</v>
      </c>
      <c r="B1772" t="str">
        <f t="shared" si="72"/>
        <v>02406911202</v>
      </c>
      <c r="C1772" t="s">
        <v>13</v>
      </c>
      <c r="D1772" t="s">
        <v>794</v>
      </c>
      <c r="E1772" t="s">
        <v>1319</v>
      </c>
      <c r="F1772" t="s">
        <v>796</v>
      </c>
      <c r="G1772" t="str">
        <f>"12899760156"</f>
        <v>12899760156</v>
      </c>
      <c r="I1772" t="s">
        <v>1343</v>
      </c>
      <c r="L1772" t="s">
        <v>41</v>
      </c>
      <c r="M1772">
        <v>4699</v>
      </c>
      <c r="AG1772">
        <v>0</v>
      </c>
      <c r="AH1772" s="1">
        <v>41568</v>
      </c>
      <c r="AI1772" s="1">
        <v>41578</v>
      </c>
      <c r="AJ1772" s="1">
        <v>41568</v>
      </c>
    </row>
    <row r="1773" spans="1:36" ht="15">
      <c r="A1773" t="str">
        <f>"ZA80B88E07"</f>
        <v>ZA80B88E07</v>
      </c>
      <c r="B1773" t="str">
        <f t="shared" si="72"/>
        <v>02406911202</v>
      </c>
      <c r="C1773" t="s">
        <v>13</v>
      </c>
      <c r="D1773" t="s">
        <v>794</v>
      </c>
      <c r="E1773" t="s">
        <v>1284</v>
      </c>
      <c r="F1773" t="s">
        <v>796</v>
      </c>
      <c r="G1773" t="str">
        <f>"05653560960"</f>
        <v>05653560960</v>
      </c>
      <c r="I1773" t="s">
        <v>475</v>
      </c>
      <c r="L1773" t="s">
        <v>41</v>
      </c>
      <c r="M1773">
        <v>900</v>
      </c>
      <c r="AG1773">
        <v>0</v>
      </c>
      <c r="AH1773" s="1">
        <v>41536</v>
      </c>
      <c r="AI1773" s="1">
        <v>41546</v>
      </c>
      <c r="AJ1773" s="1">
        <v>41536</v>
      </c>
    </row>
    <row r="1774" spans="1:36" ht="15">
      <c r="A1774" t="str">
        <f>"ZA90BE085E"</f>
        <v>ZA90BE085E</v>
      </c>
      <c r="B1774" t="str">
        <f t="shared" si="72"/>
        <v>02406911202</v>
      </c>
      <c r="C1774" t="s">
        <v>13</v>
      </c>
      <c r="D1774" t="s">
        <v>794</v>
      </c>
      <c r="E1774" t="s">
        <v>1284</v>
      </c>
      <c r="F1774" t="s">
        <v>796</v>
      </c>
      <c r="G1774" t="str">
        <f>"00790720155"</f>
        <v>00790720155</v>
      </c>
      <c r="I1774" t="s">
        <v>1344</v>
      </c>
      <c r="L1774" t="s">
        <v>41</v>
      </c>
      <c r="M1774">
        <v>120</v>
      </c>
      <c r="AG1774">
        <v>120</v>
      </c>
      <c r="AH1774" s="1">
        <v>41558</v>
      </c>
      <c r="AI1774" s="1">
        <v>41568</v>
      </c>
      <c r="AJ1774" s="1">
        <v>41558</v>
      </c>
    </row>
    <row r="1775" spans="1:36" ht="15">
      <c r="A1775" t="str">
        <f>"ZB608821D0"</f>
        <v>ZB608821D0</v>
      </c>
      <c r="B1775" t="str">
        <f t="shared" si="72"/>
        <v>02406911202</v>
      </c>
      <c r="C1775" t="s">
        <v>13</v>
      </c>
      <c r="D1775" t="s">
        <v>794</v>
      </c>
      <c r="E1775" t="s">
        <v>1293</v>
      </c>
      <c r="F1775" t="s">
        <v>796</v>
      </c>
      <c r="G1775" t="str">
        <f>"02773651209"</f>
        <v>02773651209</v>
      </c>
      <c r="I1775" t="s">
        <v>1345</v>
      </c>
      <c r="L1775" t="s">
        <v>41</v>
      </c>
      <c r="M1775">
        <v>172.57</v>
      </c>
      <c r="AG1775">
        <v>375</v>
      </c>
      <c r="AH1775" s="1">
        <v>41624</v>
      </c>
      <c r="AI1775" s="1">
        <v>41634</v>
      </c>
      <c r="AJ1775" s="1">
        <v>41624</v>
      </c>
    </row>
    <row r="1776" spans="1:36" ht="15">
      <c r="A1776" t="str">
        <f>"ZB6095C34D"</f>
        <v>ZB6095C34D</v>
      </c>
      <c r="B1776" t="str">
        <f t="shared" si="72"/>
        <v>02406911202</v>
      </c>
      <c r="C1776" t="s">
        <v>13</v>
      </c>
      <c r="D1776" t="s">
        <v>794</v>
      </c>
      <c r="E1776" t="s">
        <v>1284</v>
      </c>
      <c r="F1776" t="s">
        <v>796</v>
      </c>
      <c r="G1776" t="str">
        <f>"00522741206"</f>
        <v>00522741206</v>
      </c>
      <c r="I1776" t="s">
        <v>1346</v>
      </c>
      <c r="L1776" t="s">
        <v>41</v>
      </c>
      <c r="M1776">
        <v>17200.58</v>
      </c>
      <c r="AG1776">
        <v>17935.75</v>
      </c>
      <c r="AH1776" s="1">
        <v>41534</v>
      </c>
      <c r="AI1776" s="1">
        <v>41544</v>
      </c>
      <c r="AJ1776" s="1">
        <v>41534</v>
      </c>
    </row>
    <row r="1777" spans="1:36" ht="15">
      <c r="A1777" t="str">
        <f>"ZB9088229F"</f>
        <v>ZB9088229F</v>
      </c>
      <c r="B1777" t="str">
        <f t="shared" si="72"/>
        <v>02406911202</v>
      </c>
      <c r="C1777" t="s">
        <v>13</v>
      </c>
      <c r="D1777" t="s">
        <v>794</v>
      </c>
      <c r="E1777" t="s">
        <v>1317</v>
      </c>
      <c r="F1777" t="s">
        <v>796</v>
      </c>
      <c r="G1777" t="str">
        <f>"03559820372"</f>
        <v>03559820372</v>
      </c>
      <c r="I1777" t="s">
        <v>1347</v>
      </c>
      <c r="L1777" t="s">
        <v>41</v>
      </c>
      <c r="M1777">
        <v>2454.46</v>
      </c>
      <c r="AG1777">
        <v>2596.78</v>
      </c>
      <c r="AH1777" s="1">
        <v>41380</v>
      </c>
      <c r="AI1777" s="1">
        <v>41488</v>
      </c>
      <c r="AJ1777" s="1">
        <v>41380</v>
      </c>
    </row>
    <row r="1778" spans="1:36" ht="15">
      <c r="A1778" t="str">
        <f>"ZC20A38475"</f>
        <v>ZC20A38475</v>
      </c>
      <c r="B1778" t="str">
        <f t="shared" si="72"/>
        <v>02406911202</v>
      </c>
      <c r="C1778" t="s">
        <v>13</v>
      </c>
      <c r="D1778" t="s">
        <v>794</v>
      </c>
      <c r="E1778" t="s">
        <v>1290</v>
      </c>
      <c r="F1778" t="s">
        <v>796</v>
      </c>
      <c r="G1778" t="str">
        <f>"00049011208"</f>
        <v>00049011208</v>
      </c>
      <c r="I1778" t="s">
        <v>1348</v>
      </c>
      <c r="L1778" t="s">
        <v>41</v>
      </c>
      <c r="M1778">
        <v>2360</v>
      </c>
      <c r="AG1778">
        <v>2360</v>
      </c>
      <c r="AH1778" s="1">
        <v>41431</v>
      </c>
      <c r="AI1778" s="1">
        <v>41441</v>
      </c>
      <c r="AJ1778" s="1">
        <v>41431</v>
      </c>
    </row>
    <row r="1779" spans="1:36" ht="15">
      <c r="A1779" t="str">
        <f>"ZC60A3877F"</f>
        <v>ZC60A3877F</v>
      </c>
      <c r="B1779" t="str">
        <f t="shared" si="72"/>
        <v>02406911202</v>
      </c>
      <c r="C1779" t="s">
        <v>13</v>
      </c>
      <c r="D1779" t="s">
        <v>794</v>
      </c>
      <c r="E1779" t="s">
        <v>1317</v>
      </c>
      <c r="F1779" t="s">
        <v>796</v>
      </c>
      <c r="G1779" t="str">
        <f>"00577391204"</f>
        <v>00577391204</v>
      </c>
      <c r="I1779" t="s">
        <v>1349</v>
      </c>
      <c r="L1779" t="s">
        <v>41</v>
      </c>
      <c r="M1779">
        <v>3600</v>
      </c>
      <c r="AG1779">
        <v>3600</v>
      </c>
      <c r="AH1779" s="1">
        <v>41436</v>
      </c>
      <c r="AI1779" s="1">
        <v>41446</v>
      </c>
      <c r="AJ1779" s="1">
        <v>41436</v>
      </c>
    </row>
    <row r="1780" spans="1:36" ht="15">
      <c r="A1780" t="str">
        <f>"ZD20882184"</f>
        <v>ZD20882184</v>
      </c>
      <c r="B1780" t="str">
        <f t="shared" si="72"/>
        <v>02406911202</v>
      </c>
      <c r="C1780" t="s">
        <v>13</v>
      </c>
      <c r="D1780" t="s">
        <v>794</v>
      </c>
      <c r="E1780" t="s">
        <v>1297</v>
      </c>
      <c r="F1780" t="s">
        <v>796</v>
      </c>
      <c r="G1780" t="str">
        <f>"00575961206"</f>
        <v>00575961206</v>
      </c>
      <c r="I1780" t="s">
        <v>1350</v>
      </c>
      <c r="L1780" t="s">
        <v>41</v>
      </c>
      <c r="M1780">
        <v>2858.59</v>
      </c>
      <c r="AG1780">
        <v>1143.36</v>
      </c>
      <c r="AH1780" s="1">
        <v>41388</v>
      </c>
      <c r="AI1780" s="1">
        <v>41568</v>
      </c>
      <c r="AJ1780" s="1">
        <v>41388</v>
      </c>
    </row>
    <row r="1781" spans="1:36" ht="15">
      <c r="A1781" t="str">
        <f>"ZDF0B82441"</f>
        <v>ZDF0B82441</v>
      </c>
      <c r="B1781" t="str">
        <f t="shared" si="72"/>
        <v>02406911202</v>
      </c>
      <c r="C1781" t="s">
        <v>13</v>
      </c>
      <c r="D1781" t="s">
        <v>794</v>
      </c>
      <c r="E1781" t="s">
        <v>1321</v>
      </c>
      <c r="F1781" t="s">
        <v>796</v>
      </c>
      <c r="G1781" t="str">
        <f>"00304588882"</f>
        <v>00304588882</v>
      </c>
      <c r="I1781" t="s">
        <v>1351</v>
      </c>
      <c r="L1781" t="s">
        <v>41</v>
      </c>
      <c r="M1781">
        <v>1900</v>
      </c>
      <c r="AG1781">
        <v>1900</v>
      </c>
      <c r="AH1781" s="1">
        <v>41534</v>
      </c>
      <c r="AI1781" s="1">
        <v>41544</v>
      </c>
      <c r="AJ1781" s="1">
        <v>41534</v>
      </c>
    </row>
    <row r="1782" spans="1:36" ht="15">
      <c r="A1782" t="str">
        <f>"ZE10BA5E72"</f>
        <v>ZE10BA5E72</v>
      </c>
      <c r="B1782" t="str">
        <f t="shared" si="72"/>
        <v>02406911202</v>
      </c>
      <c r="C1782" t="s">
        <v>13</v>
      </c>
      <c r="D1782" t="s">
        <v>794</v>
      </c>
      <c r="E1782" t="s">
        <v>1284</v>
      </c>
      <c r="F1782" t="s">
        <v>796</v>
      </c>
      <c r="G1782" t="str">
        <f>"00806380150"</f>
        <v>00806380150</v>
      </c>
      <c r="I1782" t="s">
        <v>1352</v>
      </c>
      <c r="L1782" t="s">
        <v>41</v>
      </c>
      <c r="M1782">
        <v>2260</v>
      </c>
      <c r="AG1782">
        <v>2260</v>
      </c>
      <c r="AH1782" s="1">
        <v>41550</v>
      </c>
      <c r="AI1782" s="1">
        <v>41637</v>
      </c>
      <c r="AJ1782" s="1">
        <v>41550</v>
      </c>
    </row>
    <row r="1783" spans="1:36" ht="15">
      <c r="A1783" t="str">
        <f>"ZE408AF50D"</f>
        <v>ZE408AF50D</v>
      </c>
      <c r="B1783" t="str">
        <f t="shared" si="72"/>
        <v>02406911202</v>
      </c>
      <c r="C1783" t="s">
        <v>13</v>
      </c>
      <c r="D1783" t="s">
        <v>794</v>
      </c>
      <c r="E1783" t="s">
        <v>1297</v>
      </c>
      <c r="F1783" t="s">
        <v>796</v>
      </c>
      <c r="G1783" t="str">
        <f>"00384800371"</f>
        <v>00384800371</v>
      </c>
      <c r="I1783" t="s">
        <v>1353</v>
      </c>
      <c r="L1783" t="s">
        <v>41</v>
      </c>
      <c r="M1783">
        <v>4112</v>
      </c>
      <c r="AG1783">
        <v>2656</v>
      </c>
      <c r="AH1783" s="1">
        <v>41320</v>
      </c>
      <c r="AI1783" s="1">
        <v>41364</v>
      </c>
      <c r="AJ1783" s="1">
        <v>41320</v>
      </c>
    </row>
    <row r="1784" spans="1:36" ht="15">
      <c r="A1784" t="str">
        <f>"ZE6087DF55"</f>
        <v>ZE6087DF55</v>
      </c>
      <c r="B1784" t="str">
        <f t="shared" si="72"/>
        <v>02406911202</v>
      </c>
      <c r="C1784" t="s">
        <v>13</v>
      </c>
      <c r="D1784" t="s">
        <v>794</v>
      </c>
      <c r="E1784" t="s">
        <v>1297</v>
      </c>
      <c r="F1784" t="s">
        <v>796</v>
      </c>
      <c r="G1784" t="str">
        <f>"00574281200"</f>
        <v>00574281200</v>
      </c>
      <c r="I1784" t="s">
        <v>1354</v>
      </c>
      <c r="L1784" t="s">
        <v>41</v>
      </c>
      <c r="M1784">
        <v>2139.53</v>
      </c>
      <c r="AG1784">
        <v>1247.15</v>
      </c>
      <c r="AH1784" s="1">
        <v>41309</v>
      </c>
      <c r="AI1784" s="1">
        <v>41334</v>
      </c>
      <c r="AJ1784" s="1">
        <v>41309</v>
      </c>
    </row>
    <row r="1785" spans="1:36" ht="15">
      <c r="A1785" t="str">
        <f>"ZE70B82B50"</f>
        <v>ZE70B82B50</v>
      </c>
      <c r="B1785" t="str">
        <f t="shared" si="72"/>
        <v>02406911202</v>
      </c>
      <c r="C1785" t="s">
        <v>13</v>
      </c>
      <c r="D1785" t="s">
        <v>794</v>
      </c>
      <c r="E1785" t="s">
        <v>1321</v>
      </c>
      <c r="F1785" t="s">
        <v>796</v>
      </c>
      <c r="G1785" t="str">
        <f>"00069471209"</f>
        <v>00069471209</v>
      </c>
      <c r="I1785" t="s">
        <v>1355</v>
      </c>
      <c r="L1785" t="s">
        <v>41</v>
      </c>
      <c r="M1785">
        <v>1500</v>
      </c>
      <c r="AG1785">
        <v>1500</v>
      </c>
      <c r="AH1785" s="1">
        <v>41534</v>
      </c>
      <c r="AI1785" s="1">
        <v>41544</v>
      </c>
      <c r="AJ1785" s="1">
        <v>41534</v>
      </c>
    </row>
    <row r="1786" spans="1:36" ht="15">
      <c r="A1786" t="str">
        <f>"ZEA09139BC"</f>
        <v>ZEA09139BC</v>
      </c>
      <c r="B1786" t="str">
        <f t="shared" si="72"/>
        <v>02406911202</v>
      </c>
      <c r="C1786" t="s">
        <v>13</v>
      </c>
      <c r="D1786" t="s">
        <v>794</v>
      </c>
      <c r="E1786" t="s">
        <v>1295</v>
      </c>
      <c r="F1786" t="s">
        <v>796</v>
      </c>
      <c r="G1786" t="str">
        <f>"01942780154"</f>
        <v>01942780154</v>
      </c>
      <c r="I1786" t="s">
        <v>1356</v>
      </c>
      <c r="L1786" t="s">
        <v>41</v>
      </c>
      <c r="M1786">
        <v>1030</v>
      </c>
      <c r="AG1786">
        <v>1030</v>
      </c>
      <c r="AH1786" s="1">
        <v>41348</v>
      </c>
      <c r="AI1786" s="1">
        <v>41358</v>
      </c>
      <c r="AJ1786" s="1">
        <v>41348</v>
      </c>
    </row>
    <row r="1787" spans="1:36" ht="15">
      <c r="A1787" t="str">
        <f>"ZEA0ADBF49"</f>
        <v>ZEA0ADBF49</v>
      </c>
      <c r="B1787" t="str">
        <f t="shared" si="72"/>
        <v>02406911202</v>
      </c>
      <c r="C1787" t="s">
        <v>13</v>
      </c>
      <c r="D1787" t="s">
        <v>794</v>
      </c>
      <c r="E1787" t="s">
        <v>1321</v>
      </c>
      <c r="F1787" t="s">
        <v>796</v>
      </c>
      <c r="G1787" t="str">
        <f>"02098680974"</f>
        <v>02098680974</v>
      </c>
      <c r="I1787" t="s">
        <v>1357</v>
      </c>
      <c r="L1787" t="s">
        <v>41</v>
      </c>
      <c r="M1787">
        <v>9400</v>
      </c>
      <c r="AG1787">
        <v>9400</v>
      </c>
      <c r="AH1787" s="1">
        <v>41477</v>
      </c>
      <c r="AI1787" s="1">
        <v>41487</v>
      </c>
      <c r="AJ1787" s="1">
        <v>41477</v>
      </c>
    </row>
    <row r="1788" spans="1:36" ht="15">
      <c r="A1788" t="str">
        <f>"ZEB0C49712"</f>
        <v>ZEB0C49712</v>
      </c>
      <c r="B1788" t="str">
        <f t="shared" si="72"/>
        <v>02406911202</v>
      </c>
      <c r="C1788" t="s">
        <v>13</v>
      </c>
      <c r="D1788" t="s">
        <v>794</v>
      </c>
      <c r="E1788" t="s">
        <v>1284</v>
      </c>
      <c r="F1788" t="s">
        <v>796</v>
      </c>
      <c r="G1788" t="str">
        <f>"01367290382"</f>
        <v>01367290382</v>
      </c>
      <c r="I1788" t="s">
        <v>1358</v>
      </c>
      <c r="L1788" t="s">
        <v>41</v>
      </c>
      <c r="M1788">
        <v>1520</v>
      </c>
      <c r="AG1788">
        <v>1520</v>
      </c>
      <c r="AH1788" s="1">
        <v>41586</v>
      </c>
      <c r="AI1788" s="1">
        <v>41596</v>
      </c>
      <c r="AJ1788" s="1">
        <v>41586</v>
      </c>
    </row>
    <row r="1789" spans="1:36" ht="15">
      <c r="A1789" t="str">
        <f>"ZED08820F3"</f>
        <v>ZED08820F3</v>
      </c>
      <c r="B1789" t="str">
        <f t="shared" si="72"/>
        <v>02406911202</v>
      </c>
      <c r="C1789" t="s">
        <v>13</v>
      </c>
      <c r="D1789" t="s">
        <v>794</v>
      </c>
      <c r="E1789" t="s">
        <v>1359</v>
      </c>
      <c r="F1789" t="s">
        <v>796</v>
      </c>
      <c r="G1789" t="str">
        <f>"00281631200"</f>
        <v>00281631200</v>
      </c>
      <c r="I1789" t="s">
        <v>1360</v>
      </c>
      <c r="L1789" t="s">
        <v>41</v>
      </c>
      <c r="M1789">
        <v>2433</v>
      </c>
      <c r="AG1789">
        <v>4604.88</v>
      </c>
      <c r="AH1789" s="1">
        <v>41639</v>
      </c>
      <c r="AI1789" s="1">
        <v>41649</v>
      </c>
      <c r="AJ1789" s="1">
        <v>41639</v>
      </c>
    </row>
    <row r="1790" spans="1:36" ht="15">
      <c r="A1790" t="str">
        <f>"ZED0D606B4"</f>
        <v>ZED0D606B4</v>
      </c>
      <c r="B1790" t="str">
        <f t="shared" si="72"/>
        <v>02406911202</v>
      </c>
      <c r="C1790" t="s">
        <v>13</v>
      </c>
      <c r="D1790" t="s">
        <v>794</v>
      </c>
      <c r="E1790" t="s">
        <v>1361</v>
      </c>
      <c r="F1790" t="s">
        <v>796</v>
      </c>
      <c r="G1790" t="str">
        <f>"02402671206"</f>
        <v>02402671206</v>
      </c>
      <c r="I1790" t="s">
        <v>748</v>
      </c>
      <c r="L1790" t="s">
        <v>41</v>
      </c>
      <c r="M1790">
        <v>4780</v>
      </c>
      <c r="AG1790">
        <v>0</v>
      </c>
      <c r="AH1790" s="1">
        <v>41275</v>
      </c>
      <c r="AI1790" s="1">
        <v>41639</v>
      </c>
      <c r="AJ1790" s="1">
        <v>41275</v>
      </c>
    </row>
    <row r="1791" spans="1:36" ht="15">
      <c r="A1791" t="str">
        <f>"ZEE0D01B2B"</f>
        <v>ZEE0D01B2B</v>
      </c>
      <c r="B1791" t="str">
        <f t="shared" si="72"/>
        <v>02406911202</v>
      </c>
      <c r="C1791" t="s">
        <v>13</v>
      </c>
      <c r="D1791" t="s">
        <v>794</v>
      </c>
      <c r="E1791" t="s">
        <v>1317</v>
      </c>
      <c r="F1791" t="s">
        <v>796</v>
      </c>
      <c r="G1791" t="str">
        <f>"12906300152"</f>
        <v>12906300152</v>
      </c>
      <c r="I1791" t="s">
        <v>1362</v>
      </c>
      <c r="L1791" t="s">
        <v>41</v>
      </c>
      <c r="M1791">
        <v>3892.56</v>
      </c>
      <c r="AG1791">
        <v>3892.56</v>
      </c>
      <c r="AH1791" s="1">
        <v>41627</v>
      </c>
      <c r="AI1791" s="1">
        <v>41637</v>
      </c>
      <c r="AJ1791" s="1">
        <v>41627</v>
      </c>
    </row>
    <row r="1792" spans="1:36" ht="15">
      <c r="A1792" t="str">
        <f>"ZF00556C5A"</f>
        <v>ZF00556C5A</v>
      </c>
      <c r="B1792" t="str">
        <f t="shared" si="72"/>
        <v>02406911202</v>
      </c>
      <c r="C1792" t="s">
        <v>13</v>
      </c>
      <c r="D1792" t="s">
        <v>794</v>
      </c>
      <c r="E1792" t="s">
        <v>1284</v>
      </c>
      <c r="F1792" t="s">
        <v>796</v>
      </c>
      <c r="G1792" t="str">
        <f>"04387641006"</f>
        <v>04387641006</v>
      </c>
      <c r="I1792" t="s">
        <v>355</v>
      </c>
      <c r="L1792" t="s">
        <v>41</v>
      </c>
      <c r="M1792">
        <v>700</v>
      </c>
      <c r="AG1792">
        <v>1700</v>
      </c>
      <c r="AH1792" s="1">
        <v>41360</v>
      </c>
      <c r="AI1792" s="1">
        <v>41370</v>
      </c>
      <c r="AJ1792" s="1">
        <v>41360</v>
      </c>
    </row>
    <row r="1793" spans="1:36" ht="15">
      <c r="A1793" t="str">
        <f>"ZF105D5B2C"</f>
        <v>ZF105D5B2C</v>
      </c>
      <c r="B1793" t="str">
        <f t="shared" si="72"/>
        <v>02406911202</v>
      </c>
      <c r="C1793" t="s">
        <v>13</v>
      </c>
      <c r="D1793" t="s">
        <v>794</v>
      </c>
      <c r="E1793" t="s">
        <v>1299</v>
      </c>
      <c r="F1793" t="s">
        <v>796</v>
      </c>
      <c r="G1793" t="str">
        <f>"02893271201"</f>
        <v>02893271201</v>
      </c>
      <c r="I1793" t="s">
        <v>487</v>
      </c>
      <c r="L1793" t="s">
        <v>41</v>
      </c>
      <c r="M1793">
        <v>1313.14</v>
      </c>
      <c r="AG1793">
        <v>8005.02</v>
      </c>
      <c r="AH1793" s="1">
        <v>41563</v>
      </c>
      <c r="AI1793" s="1">
        <v>41575</v>
      </c>
      <c r="AJ1793" s="1">
        <v>41563</v>
      </c>
    </row>
    <row r="1794" spans="1:36" ht="15">
      <c r="A1794" t="str">
        <f>"ZF4075B2DC"</f>
        <v>ZF4075B2DC</v>
      </c>
      <c r="B1794" t="str">
        <f aca="true" t="shared" si="73" ref="B1794:B1857">"02406911202"</f>
        <v>02406911202</v>
      </c>
      <c r="C1794" t="s">
        <v>13</v>
      </c>
      <c r="D1794" t="s">
        <v>794</v>
      </c>
      <c r="E1794" t="s">
        <v>1293</v>
      </c>
      <c r="F1794" t="s">
        <v>796</v>
      </c>
      <c r="G1794" t="str">
        <f>"00544491202"</f>
        <v>00544491202</v>
      </c>
      <c r="I1794" t="s">
        <v>1363</v>
      </c>
      <c r="L1794" t="s">
        <v>41</v>
      </c>
      <c r="M1794">
        <v>949.6</v>
      </c>
      <c r="AG1794">
        <v>1181.59</v>
      </c>
      <c r="AH1794" s="1">
        <v>41603</v>
      </c>
      <c r="AI1794" s="1">
        <v>41613</v>
      </c>
      <c r="AJ1794" s="1">
        <v>41603</v>
      </c>
    </row>
    <row r="1795" spans="1:36" ht="15">
      <c r="A1795" t="str">
        <f>"ZF80855636"</f>
        <v>ZF80855636</v>
      </c>
      <c r="B1795" t="str">
        <f t="shared" si="73"/>
        <v>02406911202</v>
      </c>
      <c r="C1795" t="s">
        <v>13</v>
      </c>
      <c r="D1795" t="s">
        <v>794</v>
      </c>
      <c r="E1795" t="s">
        <v>1317</v>
      </c>
      <c r="F1795" t="s">
        <v>796</v>
      </c>
      <c r="G1795" t="str">
        <f>"03734170156"</f>
        <v>03734170156</v>
      </c>
      <c r="I1795" t="s">
        <v>1364</v>
      </c>
      <c r="L1795" t="s">
        <v>41</v>
      </c>
      <c r="M1795">
        <v>10899</v>
      </c>
      <c r="AG1795">
        <v>10899</v>
      </c>
      <c r="AH1795" s="1">
        <v>41298</v>
      </c>
      <c r="AI1795" s="1">
        <v>41308</v>
      </c>
      <c r="AJ1795" s="1">
        <v>41298</v>
      </c>
    </row>
    <row r="1796" spans="1:36" ht="15">
      <c r="A1796" t="str">
        <f>"4824018994"</f>
        <v>4824018994</v>
      </c>
      <c r="B1796" t="str">
        <f t="shared" si="73"/>
        <v>02406911202</v>
      </c>
      <c r="C1796" t="s">
        <v>13</v>
      </c>
      <c r="D1796" t="s">
        <v>1365</v>
      </c>
      <c r="E1796" t="s">
        <v>1366</v>
      </c>
      <c r="F1796" t="s">
        <v>796</v>
      </c>
      <c r="G1796" t="str">
        <f>"04327730018"</f>
        <v>04327730018</v>
      </c>
      <c r="I1796" t="s">
        <v>937</v>
      </c>
      <c r="L1796" t="s">
        <v>41</v>
      </c>
      <c r="M1796">
        <v>930</v>
      </c>
      <c r="AG1796">
        <v>930</v>
      </c>
      <c r="AH1796" s="1">
        <v>41289</v>
      </c>
      <c r="AI1796" s="1">
        <v>41299</v>
      </c>
      <c r="AJ1796" s="1">
        <v>41289</v>
      </c>
    </row>
    <row r="1797" spans="1:36" ht="15">
      <c r="A1797" t="str">
        <f>"4861107864"</f>
        <v>4861107864</v>
      </c>
      <c r="B1797" t="str">
        <f t="shared" si="73"/>
        <v>02406911202</v>
      </c>
      <c r="C1797" t="s">
        <v>13</v>
      </c>
      <c r="D1797" t="s">
        <v>1365</v>
      </c>
      <c r="E1797" t="s">
        <v>1367</v>
      </c>
      <c r="F1797" t="s">
        <v>796</v>
      </c>
      <c r="G1797" t="str">
        <f>"10994940152"</f>
        <v>10994940152</v>
      </c>
      <c r="I1797" t="s">
        <v>755</v>
      </c>
      <c r="L1797" t="s">
        <v>41</v>
      </c>
      <c r="M1797">
        <v>38321.17</v>
      </c>
      <c r="AG1797">
        <v>38321.11</v>
      </c>
      <c r="AH1797" s="1">
        <v>41276</v>
      </c>
      <c r="AI1797" s="1">
        <v>41637</v>
      </c>
      <c r="AJ1797" s="1">
        <v>41276</v>
      </c>
    </row>
    <row r="1798" spans="1:36" ht="15">
      <c r="A1798" t="str">
        <f>"4896909125"</f>
        <v>4896909125</v>
      </c>
      <c r="B1798" t="str">
        <f t="shared" si="73"/>
        <v>02406911202</v>
      </c>
      <c r="C1798" t="s">
        <v>13</v>
      </c>
      <c r="D1798" t="s">
        <v>1365</v>
      </c>
      <c r="E1798" t="s">
        <v>1367</v>
      </c>
      <c r="F1798" t="s">
        <v>796</v>
      </c>
      <c r="G1798" t="str">
        <f>"11159150157"</f>
        <v>11159150157</v>
      </c>
      <c r="I1798" t="s">
        <v>321</v>
      </c>
      <c r="L1798" t="s">
        <v>41</v>
      </c>
      <c r="M1798">
        <v>37344.53</v>
      </c>
      <c r="AG1798">
        <v>44189.21</v>
      </c>
      <c r="AH1798" s="1">
        <v>41292</v>
      </c>
      <c r="AI1798" s="1">
        <v>41510</v>
      </c>
      <c r="AJ1798" s="1">
        <v>41292</v>
      </c>
    </row>
    <row r="1799" spans="1:36" ht="15">
      <c r="A1799" t="str">
        <f>"4919515035"</f>
        <v>4919515035</v>
      </c>
      <c r="B1799" t="str">
        <f t="shared" si="73"/>
        <v>02406911202</v>
      </c>
      <c r="C1799" t="s">
        <v>13</v>
      </c>
      <c r="D1799" t="s">
        <v>1365</v>
      </c>
      <c r="E1799" t="s">
        <v>1368</v>
      </c>
      <c r="F1799" t="s">
        <v>796</v>
      </c>
      <c r="G1799" t="str">
        <f>"02261120378"</f>
        <v>02261120378</v>
      </c>
      <c r="I1799" t="s">
        <v>1369</v>
      </c>
      <c r="L1799" t="s">
        <v>41</v>
      </c>
      <c r="M1799">
        <v>14098</v>
      </c>
      <c r="AG1799">
        <v>14098</v>
      </c>
      <c r="AH1799" s="1">
        <v>41312</v>
      </c>
      <c r="AI1799" s="1">
        <v>41322</v>
      </c>
      <c r="AJ1799" s="1">
        <v>41312</v>
      </c>
    </row>
    <row r="1800" spans="1:36" ht="15">
      <c r="A1800" t="str">
        <f>"4919579504"</f>
        <v>4919579504</v>
      </c>
      <c r="B1800" t="str">
        <f t="shared" si="73"/>
        <v>02406911202</v>
      </c>
      <c r="C1800" t="s">
        <v>13</v>
      </c>
      <c r="D1800" t="s">
        <v>1365</v>
      </c>
      <c r="E1800" t="s">
        <v>1368</v>
      </c>
      <c r="F1800" t="s">
        <v>796</v>
      </c>
      <c r="G1800" t="str">
        <f>"02084790340"</f>
        <v>02084790340</v>
      </c>
      <c r="I1800" t="s">
        <v>1370</v>
      </c>
      <c r="L1800" t="s">
        <v>41</v>
      </c>
      <c r="M1800">
        <v>3010</v>
      </c>
      <c r="AG1800">
        <v>3010</v>
      </c>
      <c r="AH1800" s="1">
        <v>41312</v>
      </c>
      <c r="AI1800" s="1">
        <v>41322</v>
      </c>
      <c r="AJ1800" s="1">
        <v>41312</v>
      </c>
    </row>
    <row r="1801" spans="1:36" ht="15">
      <c r="A1801" t="str">
        <f>"4922004630"</f>
        <v>4922004630</v>
      </c>
      <c r="B1801" t="str">
        <f t="shared" si="73"/>
        <v>02406911202</v>
      </c>
      <c r="C1801" t="s">
        <v>13</v>
      </c>
      <c r="D1801" t="s">
        <v>1365</v>
      </c>
      <c r="E1801" t="s">
        <v>1368</v>
      </c>
      <c r="F1801" t="s">
        <v>796</v>
      </c>
      <c r="G1801" t="str">
        <f>"00615700374"</f>
        <v>00615700374</v>
      </c>
      <c r="I1801" t="s">
        <v>172</v>
      </c>
      <c r="L1801" t="s">
        <v>41</v>
      </c>
      <c r="M1801">
        <v>495</v>
      </c>
      <c r="AG1801">
        <v>495</v>
      </c>
      <c r="AH1801" s="1">
        <v>41313</v>
      </c>
      <c r="AI1801" s="1">
        <v>41323</v>
      </c>
      <c r="AJ1801" s="1">
        <v>41313</v>
      </c>
    </row>
    <row r="1802" spans="1:36" ht="15">
      <c r="A1802" t="str">
        <f>"4933985539"</f>
        <v>4933985539</v>
      </c>
      <c r="B1802" t="str">
        <f t="shared" si="73"/>
        <v>02406911202</v>
      </c>
      <c r="C1802" t="s">
        <v>13</v>
      </c>
      <c r="D1802" t="s">
        <v>1365</v>
      </c>
      <c r="E1802" t="s">
        <v>1367</v>
      </c>
      <c r="F1802" t="s">
        <v>796</v>
      </c>
      <c r="G1802" t="str">
        <f>"08817300158"</f>
        <v>08817300158</v>
      </c>
      <c r="I1802" t="s">
        <v>1371</v>
      </c>
      <c r="L1802" t="s">
        <v>41</v>
      </c>
      <c r="M1802">
        <v>19225</v>
      </c>
      <c r="AG1802">
        <v>19067.41</v>
      </c>
      <c r="AH1802" s="1">
        <v>41319</v>
      </c>
      <c r="AI1802" s="1">
        <v>41329</v>
      </c>
      <c r="AJ1802" s="1">
        <v>41319</v>
      </c>
    </row>
    <row r="1803" spans="1:36" ht="15">
      <c r="A1803" t="str">
        <f>"4961534361"</f>
        <v>4961534361</v>
      </c>
      <c r="B1803" t="str">
        <f t="shared" si="73"/>
        <v>02406911202</v>
      </c>
      <c r="C1803" t="s">
        <v>13</v>
      </c>
      <c r="D1803" t="s">
        <v>1365</v>
      </c>
      <c r="E1803" t="s">
        <v>1368</v>
      </c>
      <c r="F1803" t="s">
        <v>796</v>
      </c>
      <c r="G1803" t="str">
        <f>"01601690348"</f>
        <v>01601690348</v>
      </c>
      <c r="I1803" t="s">
        <v>1372</v>
      </c>
      <c r="L1803" t="s">
        <v>41</v>
      </c>
      <c r="M1803">
        <v>1990</v>
      </c>
      <c r="AG1803">
        <v>1990</v>
      </c>
      <c r="AH1803" s="1">
        <v>41331</v>
      </c>
      <c r="AI1803" s="1">
        <v>41341</v>
      </c>
      <c r="AJ1803" s="1">
        <v>41331</v>
      </c>
    </row>
    <row r="1804" spans="1:36" ht="15">
      <c r="A1804" t="str">
        <f>"4967856475"</f>
        <v>4967856475</v>
      </c>
      <c r="B1804" t="str">
        <f t="shared" si="73"/>
        <v>02406911202</v>
      </c>
      <c r="C1804" t="s">
        <v>13</v>
      </c>
      <c r="D1804" t="s">
        <v>1365</v>
      </c>
      <c r="E1804" t="s">
        <v>1367</v>
      </c>
      <c r="F1804" t="s">
        <v>796</v>
      </c>
      <c r="G1804" t="str">
        <f>"03992220966"</f>
        <v>03992220966</v>
      </c>
      <c r="I1804" t="s">
        <v>1373</v>
      </c>
      <c r="L1804" t="s">
        <v>41</v>
      </c>
      <c r="M1804">
        <v>27306.86</v>
      </c>
      <c r="AG1804">
        <v>27306.86</v>
      </c>
      <c r="AH1804" s="1">
        <v>41311</v>
      </c>
      <c r="AI1804" s="1">
        <v>41602</v>
      </c>
      <c r="AJ1804" s="1">
        <v>41311</v>
      </c>
    </row>
    <row r="1805" spans="1:36" ht="15">
      <c r="A1805" t="str">
        <f>"5006050325"</f>
        <v>5006050325</v>
      </c>
      <c r="B1805" t="str">
        <f t="shared" si="73"/>
        <v>02406911202</v>
      </c>
      <c r="C1805" t="s">
        <v>13</v>
      </c>
      <c r="D1805" t="s">
        <v>1365</v>
      </c>
      <c r="E1805" t="s">
        <v>1368</v>
      </c>
      <c r="F1805" t="s">
        <v>796</v>
      </c>
      <c r="G1805" t="str">
        <f>"12906300152"</f>
        <v>12906300152</v>
      </c>
      <c r="I1805" t="s">
        <v>1362</v>
      </c>
      <c r="L1805" t="s">
        <v>41</v>
      </c>
      <c r="M1805">
        <v>672.26</v>
      </c>
      <c r="AG1805">
        <v>672.26</v>
      </c>
      <c r="AH1805" s="1">
        <v>41367</v>
      </c>
      <c r="AI1805" s="1">
        <v>41377</v>
      </c>
      <c r="AJ1805" s="1">
        <v>41367</v>
      </c>
    </row>
    <row r="1806" spans="1:36" ht="15">
      <c r="A1806" t="str">
        <f>"5006203168"</f>
        <v>5006203168</v>
      </c>
      <c r="B1806" t="str">
        <f t="shared" si="73"/>
        <v>02406911202</v>
      </c>
      <c r="C1806" t="s">
        <v>13</v>
      </c>
      <c r="D1806" t="s">
        <v>1365</v>
      </c>
      <c r="E1806" t="s">
        <v>1368</v>
      </c>
      <c r="F1806" t="s">
        <v>796</v>
      </c>
      <c r="G1806" t="str">
        <f>"00856750153"</f>
        <v>00856750153</v>
      </c>
      <c r="I1806" t="s">
        <v>54</v>
      </c>
      <c r="L1806" t="s">
        <v>41</v>
      </c>
      <c r="M1806">
        <v>4312</v>
      </c>
      <c r="AG1806">
        <v>4312</v>
      </c>
      <c r="AH1806" s="1">
        <v>41359</v>
      </c>
      <c r="AI1806" s="1">
        <v>41369</v>
      </c>
      <c r="AJ1806" s="1">
        <v>41359</v>
      </c>
    </row>
    <row r="1807" spans="1:36" ht="15">
      <c r="A1807" t="str">
        <f>"5030350822"</f>
        <v>5030350822</v>
      </c>
      <c r="B1807" t="str">
        <f t="shared" si="73"/>
        <v>02406911202</v>
      </c>
      <c r="C1807" t="s">
        <v>13</v>
      </c>
      <c r="D1807" t="s">
        <v>1365</v>
      </c>
      <c r="E1807" t="s">
        <v>1374</v>
      </c>
      <c r="F1807" t="s">
        <v>796</v>
      </c>
      <c r="G1807" t="str">
        <f>"00420820383"</f>
        <v>00420820383</v>
      </c>
      <c r="I1807" t="s">
        <v>496</v>
      </c>
      <c r="L1807" t="s">
        <v>41</v>
      </c>
      <c r="M1807">
        <v>410</v>
      </c>
      <c r="AG1807">
        <v>410</v>
      </c>
      <c r="AH1807" s="1">
        <v>41284</v>
      </c>
      <c r="AI1807" s="1">
        <v>41294</v>
      </c>
      <c r="AJ1807" s="1">
        <v>41284</v>
      </c>
    </row>
    <row r="1808" spans="1:36" ht="15">
      <c r="A1808" t="str">
        <f>"5030674383"</f>
        <v>5030674383</v>
      </c>
      <c r="B1808" t="str">
        <f t="shared" si="73"/>
        <v>02406911202</v>
      </c>
      <c r="C1808" t="s">
        <v>13</v>
      </c>
      <c r="D1808" t="s">
        <v>1365</v>
      </c>
      <c r="E1808" t="s">
        <v>1374</v>
      </c>
      <c r="F1808" t="s">
        <v>796</v>
      </c>
      <c r="G1808" t="str">
        <f>"00527500540"</f>
        <v>00527500540</v>
      </c>
      <c r="I1808" t="s">
        <v>1375</v>
      </c>
      <c r="L1808" t="s">
        <v>41</v>
      </c>
      <c r="M1808">
        <v>6300</v>
      </c>
      <c r="AG1808">
        <v>6300</v>
      </c>
      <c r="AH1808" s="1">
        <v>41275</v>
      </c>
      <c r="AI1808" s="1">
        <v>41285</v>
      </c>
      <c r="AJ1808" s="1">
        <v>41275</v>
      </c>
    </row>
    <row r="1809" spans="1:36" ht="15">
      <c r="A1809" t="str">
        <f>"5030943180"</f>
        <v>5030943180</v>
      </c>
      <c r="B1809" t="str">
        <f t="shared" si="73"/>
        <v>02406911202</v>
      </c>
      <c r="C1809" t="s">
        <v>13</v>
      </c>
      <c r="D1809" t="s">
        <v>1365</v>
      </c>
      <c r="E1809" t="s">
        <v>1376</v>
      </c>
      <c r="F1809" t="s">
        <v>796</v>
      </c>
      <c r="G1809" t="str">
        <f>"09933630155"</f>
        <v>09933630155</v>
      </c>
      <c r="I1809" t="s">
        <v>409</v>
      </c>
      <c r="L1809" t="s">
        <v>41</v>
      </c>
      <c r="M1809">
        <v>2380.6</v>
      </c>
      <c r="AG1809">
        <v>2380.6</v>
      </c>
      <c r="AH1809" s="1">
        <v>41282</v>
      </c>
      <c r="AI1809" s="1">
        <v>41292</v>
      </c>
      <c r="AJ1809" s="1">
        <v>41282</v>
      </c>
    </row>
    <row r="1810" spans="1:36" ht="15">
      <c r="A1810" t="str">
        <f>"5030963201"</f>
        <v>5030963201</v>
      </c>
      <c r="B1810" t="str">
        <f t="shared" si="73"/>
        <v>02406911202</v>
      </c>
      <c r="C1810" t="s">
        <v>13</v>
      </c>
      <c r="D1810" t="s">
        <v>1365</v>
      </c>
      <c r="E1810" t="s">
        <v>1376</v>
      </c>
      <c r="F1810" t="s">
        <v>796</v>
      </c>
      <c r="G1810" t="str">
        <f>"01991581206"</f>
        <v>01991581206</v>
      </c>
      <c r="I1810" t="s">
        <v>1377</v>
      </c>
      <c r="L1810" t="s">
        <v>41</v>
      </c>
      <c r="M1810">
        <v>650</v>
      </c>
      <c r="AG1810">
        <v>650</v>
      </c>
      <c r="AH1810" s="1">
        <v>41334</v>
      </c>
      <c r="AI1810" s="1">
        <v>41344</v>
      </c>
      <c r="AJ1810" s="1">
        <v>41334</v>
      </c>
    </row>
    <row r="1811" spans="1:36" ht="15">
      <c r="A1811" t="str">
        <f>"5039436225"</f>
        <v>5039436225</v>
      </c>
      <c r="B1811" t="str">
        <f t="shared" si="73"/>
        <v>02406911202</v>
      </c>
      <c r="C1811" t="s">
        <v>13</v>
      </c>
      <c r="D1811" t="s">
        <v>1365</v>
      </c>
      <c r="E1811" t="s">
        <v>1367</v>
      </c>
      <c r="F1811" t="s">
        <v>796</v>
      </c>
      <c r="G1811" t="str">
        <f>"04923960159"</f>
        <v>04923960159</v>
      </c>
      <c r="I1811" t="s">
        <v>334</v>
      </c>
      <c r="L1811" t="s">
        <v>41</v>
      </c>
      <c r="M1811">
        <v>5000</v>
      </c>
      <c r="AG1811">
        <v>2112.5</v>
      </c>
      <c r="AH1811" s="1">
        <v>41337</v>
      </c>
      <c r="AI1811" s="1">
        <v>41609</v>
      </c>
      <c r="AJ1811" s="1">
        <v>41337</v>
      </c>
    </row>
    <row r="1812" spans="1:36" ht="15">
      <c r="A1812" t="str">
        <f>"5039462798"</f>
        <v>5039462798</v>
      </c>
      <c r="B1812" t="str">
        <f t="shared" si="73"/>
        <v>02406911202</v>
      </c>
      <c r="C1812" t="s">
        <v>13</v>
      </c>
      <c r="D1812" t="s">
        <v>1365</v>
      </c>
      <c r="E1812" t="s">
        <v>1367</v>
      </c>
      <c r="F1812" t="s">
        <v>796</v>
      </c>
      <c r="G1812" t="str">
        <f>"08641790152"</f>
        <v>08641790152</v>
      </c>
      <c r="I1812" t="s">
        <v>1014</v>
      </c>
      <c r="L1812" t="s">
        <v>41</v>
      </c>
      <c r="M1812">
        <v>4711.67</v>
      </c>
      <c r="AG1812">
        <v>4711.67</v>
      </c>
      <c r="AH1812" s="1">
        <v>41295</v>
      </c>
      <c r="AI1812" s="1">
        <v>41617</v>
      </c>
      <c r="AJ1812" s="1">
        <v>41295</v>
      </c>
    </row>
    <row r="1813" spans="1:36" ht="15">
      <c r="A1813" t="str">
        <f>"5039830747"</f>
        <v>5039830747</v>
      </c>
      <c r="B1813" t="str">
        <f t="shared" si="73"/>
        <v>02406911202</v>
      </c>
      <c r="C1813" t="s">
        <v>13</v>
      </c>
      <c r="D1813" t="s">
        <v>1365</v>
      </c>
      <c r="E1813" t="s">
        <v>1367</v>
      </c>
      <c r="F1813" t="s">
        <v>796</v>
      </c>
      <c r="G1813" t="str">
        <f>"06754140157"</f>
        <v>06754140157</v>
      </c>
      <c r="I1813" t="s">
        <v>406</v>
      </c>
      <c r="L1813" t="s">
        <v>41</v>
      </c>
      <c r="M1813">
        <v>7600</v>
      </c>
      <c r="AG1813">
        <v>7592.4</v>
      </c>
      <c r="AH1813" s="1">
        <v>41275</v>
      </c>
      <c r="AI1813" s="1">
        <v>41582</v>
      </c>
      <c r="AJ1813" s="1">
        <v>41275</v>
      </c>
    </row>
    <row r="1814" spans="1:36" ht="15">
      <c r="A1814" t="str">
        <f>"5039864357"</f>
        <v>5039864357</v>
      </c>
      <c r="B1814" t="str">
        <f t="shared" si="73"/>
        <v>02406911202</v>
      </c>
      <c r="C1814" t="s">
        <v>13</v>
      </c>
      <c r="D1814" t="s">
        <v>1365</v>
      </c>
      <c r="E1814" t="s">
        <v>1367</v>
      </c>
      <c r="F1814" t="s">
        <v>796</v>
      </c>
      <c r="G1814" t="str">
        <f>"00674840152"</f>
        <v>00674840152</v>
      </c>
      <c r="I1814" t="s">
        <v>171</v>
      </c>
      <c r="L1814" t="s">
        <v>41</v>
      </c>
      <c r="M1814">
        <v>1798</v>
      </c>
      <c r="AG1814">
        <v>1798</v>
      </c>
      <c r="AH1814" s="1">
        <v>41285</v>
      </c>
      <c r="AI1814" s="1">
        <v>41559</v>
      </c>
      <c r="AJ1814" s="1">
        <v>41285</v>
      </c>
    </row>
    <row r="1815" spans="1:36" ht="15">
      <c r="A1815" t="str">
        <f>"5040157521"</f>
        <v>5040157521</v>
      </c>
      <c r="B1815" t="str">
        <f t="shared" si="73"/>
        <v>02406911202</v>
      </c>
      <c r="C1815" t="s">
        <v>13</v>
      </c>
      <c r="D1815" t="s">
        <v>1365</v>
      </c>
      <c r="E1815" t="s">
        <v>1367</v>
      </c>
      <c r="F1815" t="s">
        <v>796</v>
      </c>
      <c r="G1815" t="str">
        <f>"03597020373"</f>
        <v>03597020373</v>
      </c>
      <c r="I1815" t="s">
        <v>100</v>
      </c>
      <c r="L1815" t="s">
        <v>41</v>
      </c>
      <c r="M1815">
        <v>3285</v>
      </c>
      <c r="AG1815">
        <v>3285</v>
      </c>
      <c r="AH1815" s="1">
        <v>41341</v>
      </c>
      <c r="AI1815" s="1">
        <v>41581</v>
      </c>
      <c r="AJ1815" s="1">
        <v>41341</v>
      </c>
    </row>
    <row r="1816" spans="1:36" ht="15">
      <c r="A1816" t="str">
        <f>"5040276754"</f>
        <v>5040276754</v>
      </c>
      <c r="B1816" t="str">
        <f t="shared" si="73"/>
        <v>02406911202</v>
      </c>
      <c r="C1816" t="s">
        <v>13</v>
      </c>
      <c r="D1816" t="s">
        <v>1365</v>
      </c>
      <c r="E1816" t="s">
        <v>1367</v>
      </c>
      <c r="F1816" t="s">
        <v>796</v>
      </c>
      <c r="G1816" t="str">
        <f>"00751160151"</f>
        <v>00751160151</v>
      </c>
      <c r="I1816" t="s">
        <v>48</v>
      </c>
      <c r="L1816" t="s">
        <v>41</v>
      </c>
      <c r="M1816">
        <v>2170</v>
      </c>
      <c r="AG1816">
        <v>2170</v>
      </c>
      <c r="AH1816" s="1">
        <v>41318</v>
      </c>
      <c r="AI1816" s="1">
        <v>41438</v>
      </c>
      <c r="AJ1816" s="1">
        <v>41318</v>
      </c>
    </row>
    <row r="1817" spans="1:36" ht="15">
      <c r="A1817" t="str">
        <f>"5040453964"</f>
        <v>5040453964</v>
      </c>
      <c r="B1817" t="str">
        <f t="shared" si="73"/>
        <v>02406911202</v>
      </c>
      <c r="C1817" t="s">
        <v>13</v>
      </c>
      <c r="D1817" t="s">
        <v>1365</v>
      </c>
      <c r="E1817" t="s">
        <v>1367</v>
      </c>
      <c r="F1817" t="s">
        <v>796</v>
      </c>
      <c r="G1817" t="str">
        <f>"02108510401"</f>
        <v>02108510401</v>
      </c>
      <c r="I1817" t="s">
        <v>1378</v>
      </c>
      <c r="L1817" t="s">
        <v>41</v>
      </c>
      <c r="M1817">
        <v>598</v>
      </c>
      <c r="AG1817">
        <v>598</v>
      </c>
      <c r="AH1817" s="1">
        <v>41344</v>
      </c>
      <c r="AI1817" s="1">
        <v>41354</v>
      </c>
      <c r="AJ1817" s="1">
        <v>41344</v>
      </c>
    </row>
    <row r="1818" spans="1:36" ht="15">
      <c r="A1818" t="str">
        <f>"5040934654"</f>
        <v>5040934654</v>
      </c>
      <c r="B1818" t="str">
        <f t="shared" si="73"/>
        <v>02406911202</v>
      </c>
      <c r="C1818" t="s">
        <v>13</v>
      </c>
      <c r="D1818" t="s">
        <v>1365</v>
      </c>
      <c r="E1818" t="s">
        <v>1367</v>
      </c>
      <c r="F1818" t="s">
        <v>796</v>
      </c>
      <c r="G1818" t="str">
        <f>"00506781202"</f>
        <v>00506781202</v>
      </c>
      <c r="I1818" t="s">
        <v>1379</v>
      </c>
      <c r="L1818" t="s">
        <v>41</v>
      </c>
      <c r="M1818">
        <v>7057.76</v>
      </c>
      <c r="AG1818">
        <v>7057.76</v>
      </c>
      <c r="AH1818" s="1">
        <v>41277</v>
      </c>
      <c r="AI1818" s="1">
        <v>41588</v>
      </c>
      <c r="AJ1818" s="1">
        <v>41277</v>
      </c>
    </row>
    <row r="1819" spans="1:36" ht="15">
      <c r="A1819" t="str">
        <f>"5041087497"</f>
        <v>5041087497</v>
      </c>
      <c r="B1819" t="str">
        <f t="shared" si="73"/>
        <v>02406911202</v>
      </c>
      <c r="C1819" t="s">
        <v>13</v>
      </c>
      <c r="D1819" t="s">
        <v>1365</v>
      </c>
      <c r="E1819" t="s">
        <v>1367</v>
      </c>
      <c r="F1819" t="s">
        <v>796</v>
      </c>
      <c r="G1819" t="str">
        <f>"02125550349"</f>
        <v>02125550349</v>
      </c>
      <c r="I1819" t="s">
        <v>1380</v>
      </c>
      <c r="L1819" t="s">
        <v>41</v>
      </c>
      <c r="M1819">
        <v>240</v>
      </c>
      <c r="AG1819">
        <v>240</v>
      </c>
      <c r="AH1819" s="1">
        <v>41345</v>
      </c>
      <c r="AI1819" s="1">
        <v>41355</v>
      </c>
      <c r="AJ1819" s="1">
        <v>41345</v>
      </c>
    </row>
    <row r="1820" spans="1:36" ht="15">
      <c r="A1820" t="str">
        <f>"5041101026"</f>
        <v>5041101026</v>
      </c>
      <c r="B1820" t="str">
        <f t="shared" si="73"/>
        <v>02406911202</v>
      </c>
      <c r="C1820" t="s">
        <v>13</v>
      </c>
      <c r="D1820" t="s">
        <v>1365</v>
      </c>
      <c r="E1820" t="s">
        <v>1367</v>
      </c>
      <c r="F1820" t="s">
        <v>796</v>
      </c>
      <c r="G1820" t="str">
        <f>"01854280367"</f>
        <v>01854280367</v>
      </c>
      <c r="I1820" t="s">
        <v>1381</v>
      </c>
      <c r="L1820" t="s">
        <v>41</v>
      </c>
      <c r="M1820">
        <v>11271.4</v>
      </c>
      <c r="AG1820">
        <v>11271.4</v>
      </c>
      <c r="AH1820" s="1">
        <v>41310</v>
      </c>
      <c r="AI1820" s="1">
        <v>41608</v>
      </c>
      <c r="AJ1820" s="1">
        <v>41310</v>
      </c>
    </row>
    <row r="1821" spans="1:36" ht="15">
      <c r="A1821" t="str">
        <f>"5045156270"</f>
        <v>5045156270</v>
      </c>
      <c r="B1821" t="str">
        <f t="shared" si="73"/>
        <v>02406911202</v>
      </c>
      <c r="C1821" t="s">
        <v>13</v>
      </c>
      <c r="D1821" t="s">
        <v>1365</v>
      </c>
      <c r="E1821" t="s">
        <v>1367</v>
      </c>
      <c r="F1821" t="s">
        <v>796</v>
      </c>
      <c r="G1821" t="str">
        <f>"02294901208"</f>
        <v>02294901208</v>
      </c>
      <c r="I1821" t="s">
        <v>1382</v>
      </c>
      <c r="L1821" t="s">
        <v>41</v>
      </c>
      <c r="M1821">
        <v>14490.08</v>
      </c>
      <c r="AG1821">
        <v>14490.08</v>
      </c>
      <c r="AH1821" s="1">
        <v>41312</v>
      </c>
      <c r="AI1821" s="1">
        <v>41629</v>
      </c>
      <c r="AJ1821" s="1">
        <v>41312</v>
      </c>
    </row>
    <row r="1822" spans="1:36" ht="15">
      <c r="A1822" t="str">
        <f>"5052259803"</f>
        <v>5052259803</v>
      </c>
      <c r="B1822" t="str">
        <f t="shared" si="73"/>
        <v>02406911202</v>
      </c>
      <c r="C1822" t="s">
        <v>13</v>
      </c>
      <c r="D1822" t="s">
        <v>1365</v>
      </c>
      <c r="E1822" t="s">
        <v>1367</v>
      </c>
      <c r="F1822" t="s">
        <v>796</v>
      </c>
      <c r="G1822" t="str">
        <f>"03628560967"</f>
        <v>03628560967</v>
      </c>
      <c r="I1822" t="s">
        <v>1383</v>
      </c>
      <c r="L1822" t="s">
        <v>41</v>
      </c>
      <c r="M1822">
        <v>4644</v>
      </c>
      <c r="AG1822">
        <v>4644</v>
      </c>
      <c r="AH1822" s="1">
        <v>41337</v>
      </c>
      <c r="AI1822" s="1">
        <v>41627</v>
      </c>
      <c r="AJ1822" s="1">
        <v>41337</v>
      </c>
    </row>
    <row r="1823" spans="1:36" ht="15">
      <c r="A1823" t="str">
        <f>"5053515480"</f>
        <v>5053515480</v>
      </c>
      <c r="B1823" t="str">
        <f t="shared" si="73"/>
        <v>02406911202</v>
      </c>
      <c r="C1823" t="s">
        <v>13</v>
      </c>
      <c r="D1823" t="s">
        <v>1365</v>
      </c>
      <c r="E1823" t="s">
        <v>1367</v>
      </c>
      <c r="F1823" t="s">
        <v>796</v>
      </c>
      <c r="G1823" t="str">
        <f>"05131180969"</f>
        <v>05131180969</v>
      </c>
      <c r="I1823" t="s">
        <v>516</v>
      </c>
      <c r="L1823" t="s">
        <v>41</v>
      </c>
      <c r="M1823">
        <v>37000</v>
      </c>
      <c r="AG1823">
        <v>36993.5</v>
      </c>
      <c r="AH1823" s="1">
        <v>41281</v>
      </c>
      <c r="AI1823" s="1">
        <v>41468</v>
      </c>
      <c r="AJ1823" s="1">
        <v>41281</v>
      </c>
    </row>
    <row r="1824" spans="1:36" ht="15">
      <c r="A1824" t="str">
        <f>"5087983066"</f>
        <v>5087983066</v>
      </c>
      <c r="B1824" t="str">
        <f t="shared" si="73"/>
        <v>02406911202</v>
      </c>
      <c r="C1824" t="s">
        <v>13</v>
      </c>
      <c r="D1824" t="s">
        <v>1365</v>
      </c>
      <c r="E1824" t="s">
        <v>1367</v>
      </c>
      <c r="F1824" t="s">
        <v>796</v>
      </c>
      <c r="G1824" t="str">
        <f>"00856750153"</f>
        <v>00856750153</v>
      </c>
      <c r="I1824" t="s">
        <v>54</v>
      </c>
      <c r="L1824" t="s">
        <v>41</v>
      </c>
      <c r="M1824">
        <v>34607.19</v>
      </c>
      <c r="AG1824">
        <v>33971.37</v>
      </c>
      <c r="AH1824" s="1">
        <v>41276</v>
      </c>
      <c r="AI1824" s="1">
        <v>41608</v>
      </c>
      <c r="AJ1824" s="1">
        <v>41276</v>
      </c>
    </row>
    <row r="1825" spans="1:36" ht="15">
      <c r="A1825" t="str">
        <f>"5087988485"</f>
        <v>5087988485</v>
      </c>
      <c r="B1825" t="str">
        <f t="shared" si="73"/>
        <v>02406911202</v>
      </c>
      <c r="C1825" t="s">
        <v>13</v>
      </c>
      <c r="D1825" t="s">
        <v>1365</v>
      </c>
      <c r="E1825" t="s">
        <v>1367</v>
      </c>
      <c r="F1825" t="s">
        <v>796</v>
      </c>
      <c r="G1825" t="str">
        <f>"02900191202"</f>
        <v>02900191202</v>
      </c>
      <c r="I1825" t="s">
        <v>1384</v>
      </c>
      <c r="L1825" t="s">
        <v>41</v>
      </c>
      <c r="M1825">
        <v>1567</v>
      </c>
      <c r="AG1825">
        <v>1567</v>
      </c>
      <c r="AH1825" s="1">
        <v>41276</v>
      </c>
      <c r="AI1825" s="1">
        <v>41580</v>
      </c>
      <c r="AJ1825" s="1">
        <v>41276</v>
      </c>
    </row>
    <row r="1826" spans="1:36" ht="15">
      <c r="A1826" t="str">
        <f>"5088052954"</f>
        <v>5088052954</v>
      </c>
      <c r="B1826" t="str">
        <f t="shared" si="73"/>
        <v>02406911202</v>
      </c>
      <c r="C1826" t="s">
        <v>13</v>
      </c>
      <c r="D1826" t="s">
        <v>1365</v>
      </c>
      <c r="E1826" t="s">
        <v>1367</v>
      </c>
      <c r="F1826" t="s">
        <v>796</v>
      </c>
      <c r="G1826" t="str">
        <f>"07641640961"</f>
        <v>07641640961</v>
      </c>
      <c r="I1826" t="s">
        <v>1385</v>
      </c>
      <c r="L1826" t="s">
        <v>41</v>
      </c>
      <c r="M1826">
        <v>3707.96</v>
      </c>
      <c r="AG1826">
        <v>3707.96</v>
      </c>
      <c r="AH1826" s="1">
        <v>41346</v>
      </c>
      <c r="AI1826" s="1">
        <v>41630</v>
      </c>
      <c r="AJ1826" s="1">
        <v>41346</v>
      </c>
    </row>
    <row r="1827" spans="1:36" ht="15">
      <c r="A1827" t="str">
        <f>"5114293019"</f>
        <v>5114293019</v>
      </c>
      <c r="B1827" t="str">
        <f t="shared" si="73"/>
        <v>02406911202</v>
      </c>
      <c r="C1827" t="s">
        <v>13</v>
      </c>
      <c r="D1827" t="s">
        <v>1365</v>
      </c>
      <c r="E1827" t="s">
        <v>1374</v>
      </c>
      <c r="F1827" t="s">
        <v>796</v>
      </c>
      <c r="G1827" t="str">
        <f>"12384150152"</f>
        <v>12384150152</v>
      </c>
      <c r="I1827" t="s">
        <v>585</v>
      </c>
      <c r="L1827" t="s">
        <v>41</v>
      </c>
      <c r="M1827">
        <v>4425</v>
      </c>
      <c r="AG1827">
        <v>4425</v>
      </c>
      <c r="AH1827" s="1">
        <v>41402</v>
      </c>
      <c r="AI1827" s="1">
        <v>41412</v>
      </c>
      <c r="AJ1827" s="1">
        <v>41402</v>
      </c>
    </row>
    <row r="1828" spans="1:36" ht="15">
      <c r="A1828" t="str">
        <f>"5126256047"</f>
        <v>5126256047</v>
      </c>
      <c r="B1828" t="str">
        <f t="shared" si="73"/>
        <v>02406911202</v>
      </c>
      <c r="C1828" t="s">
        <v>13</v>
      </c>
      <c r="D1828" t="s">
        <v>1365</v>
      </c>
      <c r="E1828" t="s">
        <v>1374</v>
      </c>
      <c r="F1828" t="s">
        <v>796</v>
      </c>
      <c r="G1828" t="str">
        <f>"01854280367"</f>
        <v>01854280367</v>
      </c>
      <c r="I1828" t="s">
        <v>1381</v>
      </c>
      <c r="L1828" t="s">
        <v>41</v>
      </c>
      <c r="M1828">
        <v>3722.4</v>
      </c>
      <c r="AG1828">
        <v>3722.4</v>
      </c>
      <c r="AH1828" s="1">
        <v>41410</v>
      </c>
      <c r="AI1828" s="1">
        <v>41420</v>
      </c>
      <c r="AJ1828" s="1">
        <v>41410</v>
      </c>
    </row>
    <row r="1829" spans="1:36" ht="15">
      <c r="A1829" t="str">
        <f>"5136688109"</f>
        <v>5136688109</v>
      </c>
      <c r="B1829" t="str">
        <f t="shared" si="73"/>
        <v>02406911202</v>
      </c>
      <c r="C1829" t="s">
        <v>13</v>
      </c>
      <c r="D1829" t="s">
        <v>1365</v>
      </c>
      <c r="E1829" t="s">
        <v>1368</v>
      </c>
      <c r="F1829" t="s">
        <v>796</v>
      </c>
      <c r="G1829" t="str">
        <f>"02503150373"</f>
        <v>02503150373</v>
      </c>
      <c r="I1829" t="s">
        <v>1386</v>
      </c>
      <c r="L1829" t="s">
        <v>41</v>
      </c>
      <c r="M1829">
        <v>19500</v>
      </c>
      <c r="AG1829">
        <v>19500</v>
      </c>
      <c r="AH1829" s="1">
        <v>41416</v>
      </c>
      <c r="AI1829" s="1">
        <v>41426</v>
      </c>
      <c r="AJ1829" s="1">
        <v>41416</v>
      </c>
    </row>
    <row r="1830" spans="1:36" ht="15">
      <c r="A1830" t="str">
        <f>"5148056633"</f>
        <v>5148056633</v>
      </c>
      <c r="B1830" t="str">
        <f t="shared" si="73"/>
        <v>02406911202</v>
      </c>
      <c r="C1830" t="s">
        <v>13</v>
      </c>
      <c r="D1830" t="s">
        <v>1365</v>
      </c>
      <c r="E1830" t="s">
        <v>1368</v>
      </c>
      <c r="F1830" t="s">
        <v>796</v>
      </c>
      <c r="G1830" t="str">
        <f>"04181370372"</f>
        <v>04181370372</v>
      </c>
      <c r="I1830" t="s">
        <v>1387</v>
      </c>
      <c r="L1830" t="s">
        <v>41</v>
      </c>
      <c r="M1830">
        <v>1487</v>
      </c>
      <c r="AG1830">
        <v>1487</v>
      </c>
      <c r="AH1830" s="1">
        <v>41422</v>
      </c>
      <c r="AI1830" s="1">
        <v>41432</v>
      </c>
      <c r="AJ1830" s="1">
        <v>41422</v>
      </c>
    </row>
    <row r="1831" spans="1:36" ht="15">
      <c r="A1831" t="str">
        <f>"5151214444"</f>
        <v>5151214444</v>
      </c>
      <c r="B1831" t="str">
        <f t="shared" si="73"/>
        <v>02406911202</v>
      </c>
      <c r="C1831" t="s">
        <v>13</v>
      </c>
      <c r="D1831" t="s">
        <v>1365</v>
      </c>
      <c r="E1831" t="s">
        <v>1368</v>
      </c>
      <c r="F1831" t="s">
        <v>796</v>
      </c>
      <c r="G1831" t="str">
        <f>"00590071205"</f>
        <v>00590071205</v>
      </c>
      <c r="I1831" t="s">
        <v>1388</v>
      </c>
      <c r="L1831" t="s">
        <v>41</v>
      </c>
      <c r="M1831">
        <v>2135</v>
      </c>
      <c r="AG1831">
        <v>2135</v>
      </c>
      <c r="AH1831" s="1">
        <v>41423</v>
      </c>
      <c r="AI1831" s="1">
        <v>41433</v>
      </c>
      <c r="AJ1831" s="1">
        <v>41423</v>
      </c>
    </row>
    <row r="1832" spans="1:36" ht="15">
      <c r="A1832" t="str">
        <f>"5155718914"</f>
        <v>5155718914</v>
      </c>
      <c r="B1832" t="str">
        <f t="shared" si="73"/>
        <v>02406911202</v>
      </c>
      <c r="C1832" t="s">
        <v>13</v>
      </c>
      <c r="D1832" t="s">
        <v>1365</v>
      </c>
      <c r="E1832" t="s">
        <v>1366</v>
      </c>
      <c r="F1832" t="s">
        <v>796</v>
      </c>
      <c r="G1832" t="str">
        <f>"01509320691"</f>
        <v>01509320691</v>
      </c>
      <c r="I1832" t="s">
        <v>1389</v>
      </c>
      <c r="L1832" t="s">
        <v>41</v>
      </c>
      <c r="M1832">
        <v>374</v>
      </c>
      <c r="AG1832">
        <v>374</v>
      </c>
      <c r="AH1832" s="1">
        <v>41445</v>
      </c>
      <c r="AI1832" s="1">
        <v>41455</v>
      </c>
      <c r="AJ1832" s="1">
        <v>41445</v>
      </c>
    </row>
    <row r="1833" spans="1:36" ht="15">
      <c r="A1833" t="str">
        <f>"5155727084"</f>
        <v>5155727084</v>
      </c>
      <c r="B1833" t="str">
        <f t="shared" si="73"/>
        <v>02406911202</v>
      </c>
      <c r="C1833" t="s">
        <v>13</v>
      </c>
      <c r="D1833" t="s">
        <v>1365</v>
      </c>
      <c r="E1833" t="s">
        <v>1390</v>
      </c>
      <c r="F1833" t="s">
        <v>796</v>
      </c>
      <c r="G1833" t="str">
        <f>"11096101008"</f>
        <v>11096101008</v>
      </c>
      <c r="I1833" t="s">
        <v>1391</v>
      </c>
      <c r="L1833" t="s">
        <v>41</v>
      </c>
      <c r="M1833">
        <v>668</v>
      </c>
      <c r="AG1833">
        <v>668</v>
      </c>
      <c r="AH1833" s="1">
        <v>41446</v>
      </c>
      <c r="AI1833" s="1">
        <v>41456</v>
      </c>
      <c r="AJ1833" s="1">
        <v>41446</v>
      </c>
    </row>
    <row r="1834" spans="1:36" ht="15">
      <c r="A1834" t="str">
        <f>"5158548878"</f>
        <v>5158548878</v>
      </c>
      <c r="B1834" t="str">
        <f t="shared" si="73"/>
        <v>02406911202</v>
      </c>
      <c r="C1834" t="s">
        <v>13</v>
      </c>
      <c r="D1834" t="s">
        <v>1365</v>
      </c>
      <c r="E1834" t="s">
        <v>1368</v>
      </c>
      <c r="F1834" t="s">
        <v>796</v>
      </c>
      <c r="G1834" t="str">
        <f>"06032681006"</f>
        <v>06032681006</v>
      </c>
      <c r="I1834" t="s">
        <v>342</v>
      </c>
      <c r="L1834" t="s">
        <v>41</v>
      </c>
      <c r="M1834">
        <v>18105.59</v>
      </c>
      <c r="AG1834">
        <v>18105.59</v>
      </c>
      <c r="AH1834" s="1">
        <v>41425</v>
      </c>
      <c r="AI1834" s="1">
        <v>41435</v>
      </c>
      <c r="AJ1834" s="1">
        <v>41425</v>
      </c>
    </row>
    <row r="1835" spans="1:36" ht="15">
      <c r="A1835" t="str">
        <f>"5176113791"</f>
        <v>5176113791</v>
      </c>
      <c r="B1835" t="str">
        <f t="shared" si="73"/>
        <v>02406911202</v>
      </c>
      <c r="C1835" t="s">
        <v>13</v>
      </c>
      <c r="D1835" t="s">
        <v>1365</v>
      </c>
      <c r="E1835" t="s">
        <v>1390</v>
      </c>
      <c r="F1835" t="s">
        <v>796</v>
      </c>
      <c r="G1835" t="str">
        <f>"00497850313"</f>
        <v>00497850313</v>
      </c>
      <c r="I1835" t="s">
        <v>1392</v>
      </c>
      <c r="L1835" t="s">
        <v>41</v>
      </c>
      <c r="M1835">
        <v>776</v>
      </c>
      <c r="AG1835">
        <v>776</v>
      </c>
      <c r="AH1835" s="1">
        <v>41436</v>
      </c>
      <c r="AI1835" s="1">
        <v>41446</v>
      </c>
      <c r="AJ1835" s="1">
        <v>41436</v>
      </c>
    </row>
    <row r="1836" spans="1:36" ht="15">
      <c r="A1836" t="str">
        <f>"5192557995"</f>
        <v>5192557995</v>
      </c>
      <c r="B1836" t="str">
        <f t="shared" si="73"/>
        <v>02406911202</v>
      </c>
      <c r="C1836" t="s">
        <v>13</v>
      </c>
      <c r="D1836" t="s">
        <v>1365</v>
      </c>
      <c r="E1836" t="s">
        <v>1390</v>
      </c>
      <c r="F1836" t="s">
        <v>796</v>
      </c>
      <c r="G1836" t="str">
        <f>"07057740156"</f>
        <v>07057740156</v>
      </c>
      <c r="I1836" t="s">
        <v>1393</v>
      </c>
      <c r="L1836" t="s">
        <v>41</v>
      </c>
      <c r="M1836">
        <v>1113</v>
      </c>
      <c r="AG1836">
        <v>1113</v>
      </c>
      <c r="AH1836" s="1">
        <v>41464</v>
      </c>
      <c r="AI1836" s="1">
        <v>41474</v>
      </c>
      <c r="AJ1836" s="1">
        <v>41464</v>
      </c>
    </row>
    <row r="1837" spans="1:36" ht="15">
      <c r="A1837" t="str">
        <f>"5192644163"</f>
        <v>5192644163</v>
      </c>
      <c r="B1837" t="str">
        <f t="shared" si="73"/>
        <v>02406911202</v>
      </c>
      <c r="C1837" t="s">
        <v>13</v>
      </c>
      <c r="D1837" t="s">
        <v>1365</v>
      </c>
      <c r="E1837" t="s">
        <v>1366</v>
      </c>
      <c r="F1837" t="s">
        <v>796</v>
      </c>
      <c r="G1837" t="str">
        <f>"02919890174"</f>
        <v>02919890174</v>
      </c>
      <c r="I1837" t="s">
        <v>1394</v>
      </c>
      <c r="L1837" t="s">
        <v>41</v>
      </c>
      <c r="M1837">
        <v>544</v>
      </c>
      <c r="AG1837">
        <v>544</v>
      </c>
      <c r="AH1837" s="1">
        <v>41478</v>
      </c>
      <c r="AI1837" s="1">
        <v>41488</v>
      </c>
      <c r="AJ1837" s="1">
        <v>41478</v>
      </c>
    </row>
    <row r="1838" spans="1:36" ht="15">
      <c r="A1838" t="str">
        <f>"5192885842"</f>
        <v>5192885842</v>
      </c>
      <c r="B1838" t="str">
        <f t="shared" si="73"/>
        <v>02406911202</v>
      </c>
      <c r="C1838" t="s">
        <v>13</v>
      </c>
      <c r="D1838" t="s">
        <v>1365</v>
      </c>
      <c r="E1838" t="s">
        <v>1390</v>
      </c>
      <c r="F1838" t="s">
        <v>796</v>
      </c>
      <c r="G1838" t="str">
        <f>"04707001006"</f>
        <v>04707001006</v>
      </c>
      <c r="I1838" t="s">
        <v>1395</v>
      </c>
      <c r="L1838" t="s">
        <v>41</v>
      </c>
      <c r="M1838">
        <v>38</v>
      </c>
      <c r="AG1838">
        <v>38</v>
      </c>
      <c r="AH1838" s="1">
        <v>41445</v>
      </c>
      <c r="AI1838" s="1">
        <v>41455</v>
      </c>
      <c r="AJ1838" s="1">
        <v>41445</v>
      </c>
    </row>
    <row r="1839" spans="1:36" ht="15">
      <c r="A1839" t="str">
        <f>"5213317548"</f>
        <v>5213317548</v>
      </c>
      <c r="B1839" t="str">
        <f t="shared" si="73"/>
        <v>02406911202</v>
      </c>
      <c r="C1839" t="s">
        <v>13</v>
      </c>
      <c r="D1839" t="s">
        <v>1365</v>
      </c>
      <c r="E1839" t="s">
        <v>1368</v>
      </c>
      <c r="F1839" t="s">
        <v>796</v>
      </c>
      <c r="G1839" t="str">
        <f>"02481080964"</f>
        <v>02481080964</v>
      </c>
      <c r="I1839" t="s">
        <v>92</v>
      </c>
      <c r="L1839" t="s">
        <v>41</v>
      </c>
      <c r="M1839">
        <v>6043</v>
      </c>
      <c r="AG1839">
        <v>5983.07</v>
      </c>
      <c r="AH1839" s="1">
        <v>41456</v>
      </c>
      <c r="AI1839" s="1">
        <v>41466</v>
      </c>
      <c r="AJ1839" s="1">
        <v>41456</v>
      </c>
    </row>
    <row r="1840" spans="1:36" ht="15">
      <c r="A1840" t="str">
        <f>"5230260317"</f>
        <v>5230260317</v>
      </c>
      <c r="B1840" t="str">
        <f t="shared" si="73"/>
        <v>02406911202</v>
      </c>
      <c r="C1840" t="s">
        <v>13</v>
      </c>
      <c r="D1840" t="s">
        <v>1365</v>
      </c>
      <c r="E1840" t="s">
        <v>1368</v>
      </c>
      <c r="F1840" t="s">
        <v>796</v>
      </c>
      <c r="G1840" t="str">
        <f>"08817300158"</f>
        <v>08817300158</v>
      </c>
      <c r="I1840" t="s">
        <v>1371</v>
      </c>
      <c r="L1840" t="s">
        <v>41</v>
      </c>
      <c r="M1840">
        <v>846.3</v>
      </c>
      <c r="AG1840">
        <v>846.3</v>
      </c>
      <c r="AH1840" s="1">
        <v>41464</v>
      </c>
      <c r="AI1840" s="1">
        <v>41474</v>
      </c>
      <c r="AJ1840" s="1">
        <v>41464</v>
      </c>
    </row>
    <row r="1841" spans="1:36" ht="15">
      <c r="A1841" t="str">
        <f>"5234704664"</f>
        <v>5234704664</v>
      </c>
      <c r="B1841" t="str">
        <f t="shared" si="73"/>
        <v>02406911202</v>
      </c>
      <c r="C1841" t="s">
        <v>13</v>
      </c>
      <c r="D1841" t="s">
        <v>1365</v>
      </c>
      <c r="E1841" t="s">
        <v>1390</v>
      </c>
      <c r="F1841" t="s">
        <v>796</v>
      </c>
      <c r="G1841" t="str">
        <f>"04331000374"</f>
        <v>04331000374</v>
      </c>
      <c r="I1841" t="s">
        <v>1396</v>
      </c>
      <c r="L1841" t="s">
        <v>41</v>
      </c>
      <c r="M1841">
        <v>642</v>
      </c>
      <c r="AG1841">
        <v>642</v>
      </c>
      <c r="AH1841" s="1">
        <v>41466</v>
      </c>
      <c r="AI1841" s="1">
        <v>41476</v>
      </c>
      <c r="AJ1841" s="1">
        <v>41466</v>
      </c>
    </row>
    <row r="1842" spans="1:36" ht="15">
      <c r="A1842" t="str">
        <f>"5266592135"</f>
        <v>5266592135</v>
      </c>
      <c r="B1842" t="str">
        <f t="shared" si="73"/>
        <v>02406911202</v>
      </c>
      <c r="C1842" t="s">
        <v>13</v>
      </c>
      <c r="D1842" t="s">
        <v>1365</v>
      </c>
      <c r="E1842" t="s">
        <v>1368</v>
      </c>
      <c r="F1842" t="s">
        <v>796</v>
      </c>
      <c r="H1842" t="str">
        <f>"FR314176265"</f>
        <v>FR314176265</v>
      </c>
      <c r="I1842" t="s">
        <v>1397</v>
      </c>
      <c r="L1842" t="s">
        <v>41</v>
      </c>
      <c r="M1842">
        <v>900</v>
      </c>
      <c r="AG1842">
        <v>900</v>
      </c>
      <c r="AH1842" s="1">
        <v>41484</v>
      </c>
      <c r="AI1842" s="1">
        <v>41494</v>
      </c>
      <c r="AJ1842" s="1">
        <v>41484</v>
      </c>
    </row>
    <row r="1843" spans="1:36" ht="15">
      <c r="A1843" t="str">
        <f>"5268650385"</f>
        <v>5268650385</v>
      </c>
      <c r="B1843" t="str">
        <f t="shared" si="73"/>
        <v>02406911202</v>
      </c>
      <c r="C1843" t="s">
        <v>13</v>
      </c>
      <c r="D1843" t="s">
        <v>1365</v>
      </c>
      <c r="E1843" t="s">
        <v>1368</v>
      </c>
      <c r="F1843" t="s">
        <v>796</v>
      </c>
      <c r="G1843" t="str">
        <f>"11861240155"</f>
        <v>11861240155</v>
      </c>
      <c r="I1843" t="s">
        <v>1398</v>
      </c>
      <c r="L1843" t="s">
        <v>41</v>
      </c>
      <c r="M1843">
        <v>16359.79</v>
      </c>
      <c r="AG1843">
        <v>16359.79</v>
      </c>
      <c r="AH1843" s="1">
        <v>41485</v>
      </c>
      <c r="AI1843" s="1">
        <v>41495</v>
      </c>
      <c r="AJ1843" s="1">
        <v>41485</v>
      </c>
    </row>
    <row r="1844" spans="1:36" ht="15">
      <c r="A1844" t="str">
        <f>"5291457872"</f>
        <v>5291457872</v>
      </c>
      <c r="B1844" t="str">
        <f t="shared" si="73"/>
        <v>02406911202</v>
      </c>
      <c r="C1844" t="s">
        <v>13</v>
      </c>
      <c r="D1844" t="s">
        <v>1365</v>
      </c>
      <c r="E1844" t="s">
        <v>1366</v>
      </c>
      <c r="F1844" t="s">
        <v>796</v>
      </c>
      <c r="G1844" t="str">
        <f>"02027571203"</f>
        <v>02027571203</v>
      </c>
      <c r="I1844" t="s">
        <v>1399</v>
      </c>
      <c r="L1844" t="s">
        <v>41</v>
      </c>
      <c r="M1844">
        <v>5800</v>
      </c>
      <c r="AG1844">
        <v>5800</v>
      </c>
      <c r="AH1844" s="1">
        <v>41515</v>
      </c>
      <c r="AI1844" s="1">
        <v>41525</v>
      </c>
      <c r="AJ1844" s="1">
        <v>41515</v>
      </c>
    </row>
    <row r="1845" spans="1:36" ht="15">
      <c r="A1845" t="str">
        <f>"5304613121"</f>
        <v>5304613121</v>
      </c>
      <c r="B1845" t="str">
        <f t="shared" si="73"/>
        <v>02406911202</v>
      </c>
      <c r="C1845" t="s">
        <v>13</v>
      </c>
      <c r="D1845" t="s">
        <v>1365</v>
      </c>
      <c r="E1845" t="s">
        <v>1367</v>
      </c>
      <c r="F1845" t="s">
        <v>796</v>
      </c>
      <c r="G1845" t="str">
        <f>"02945590962"</f>
        <v>02945590962</v>
      </c>
      <c r="I1845" t="s">
        <v>1400</v>
      </c>
      <c r="L1845" t="s">
        <v>41</v>
      </c>
      <c r="M1845">
        <v>1819</v>
      </c>
      <c r="AG1845">
        <v>1819</v>
      </c>
      <c r="AH1845" s="1">
        <v>41429</v>
      </c>
      <c r="AI1845" s="1">
        <v>41439</v>
      </c>
      <c r="AJ1845" s="1">
        <v>41429</v>
      </c>
    </row>
    <row r="1846" spans="1:36" ht="15">
      <c r="A1846" t="str">
        <f>"5319796289"</f>
        <v>5319796289</v>
      </c>
      <c r="B1846" t="str">
        <f t="shared" si="73"/>
        <v>02406911202</v>
      </c>
      <c r="C1846" t="s">
        <v>13</v>
      </c>
      <c r="D1846" t="s">
        <v>1365</v>
      </c>
      <c r="E1846" t="s">
        <v>1367</v>
      </c>
      <c r="F1846" t="s">
        <v>796</v>
      </c>
      <c r="G1846" t="str">
        <f>"01145580195"</f>
        <v>01145580195</v>
      </c>
      <c r="I1846" t="s">
        <v>1401</v>
      </c>
      <c r="L1846" t="s">
        <v>41</v>
      </c>
      <c r="M1846">
        <v>570</v>
      </c>
      <c r="AG1846">
        <v>0</v>
      </c>
      <c r="AH1846" s="1">
        <v>41289</v>
      </c>
      <c r="AI1846" s="1">
        <v>41299</v>
      </c>
      <c r="AJ1846" s="1">
        <v>41289</v>
      </c>
    </row>
    <row r="1847" spans="1:36" ht="15">
      <c r="A1847" t="str">
        <f>"5319804921"</f>
        <v>5319804921</v>
      </c>
      <c r="B1847" t="str">
        <f t="shared" si="73"/>
        <v>02406911202</v>
      </c>
      <c r="C1847" t="s">
        <v>13</v>
      </c>
      <c r="D1847" t="s">
        <v>1365</v>
      </c>
      <c r="E1847" t="s">
        <v>1367</v>
      </c>
      <c r="F1847" t="s">
        <v>796</v>
      </c>
      <c r="G1847" t="str">
        <f>"01900221209"</f>
        <v>01900221209</v>
      </c>
      <c r="I1847" t="s">
        <v>1402</v>
      </c>
      <c r="L1847" t="s">
        <v>41</v>
      </c>
      <c r="M1847">
        <v>560</v>
      </c>
      <c r="AG1847">
        <v>560</v>
      </c>
      <c r="AH1847" s="1">
        <v>41519</v>
      </c>
      <c r="AI1847" s="1">
        <v>41529</v>
      </c>
      <c r="AJ1847" s="1">
        <v>41519</v>
      </c>
    </row>
    <row r="1848" spans="1:36" ht="15">
      <c r="A1848" t="str">
        <f>"5319814164"</f>
        <v>5319814164</v>
      </c>
      <c r="B1848" t="str">
        <f t="shared" si="73"/>
        <v>02406911202</v>
      </c>
      <c r="C1848" t="s">
        <v>13</v>
      </c>
      <c r="D1848" t="s">
        <v>1365</v>
      </c>
      <c r="E1848" t="s">
        <v>1367</v>
      </c>
      <c r="F1848" t="s">
        <v>796</v>
      </c>
      <c r="G1848" t="str">
        <f>"08126390155"</f>
        <v>08126390155</v>
      </c>
      <c r="I1848" t="s">
        <v>1026</v>
      </c>
      <c r="L1848" t="s">
        <v>41</v>
      </c>
      <c r="M1848">
        <v>2011</v>
      </c>
      <c r="AG1848">
        <v>0</v>
      </c>
      <c r="AH1848" s="1">
        <v>41366</v>
      </c>
      <c r="AI1848" s="1">
        <v>41376</v>
      </c>
      <c r="AJ1848" s="1">
        <v>41366</v>
      </c>
    </row>
    <row r="1849" spans="1:36" ht="15">
      <c r="A1849" t="str">
        <f>"5321405253"</f>
        <v>5321405253</v>
      </c>
      <c r="B1849" t="str">
        <f t="shared" si="73"/>
        <v>02406911202</v>
      </c>
      <c r="C1849" t="s">
        <v>13</v>
      </c>
      <c r="D1849" t="s">
        <v>1365</v>
      </c>
      <c r="E1849" t="s">
        <v>1367</v>
      </c>
      <c r="F1849" t="s">
        <v>796</v>
      </c>
      <c r="G1849" t="str">
        <f>"03717020964"</f>
        <v>03717020964</v>
      </c>
      <c r="I1849" t="s">
        <v>601</v>
      </c>
      <c r="L1849" t="s">
        <v>41</v>
      </c>
      <c r="M1849">
        <v>535.79</v>
      </c>
      <c r="AG1849">
        <v>535.79</v>
      </c>
      <c r="AH1849" s="1">
        <v>41481</v>
      </c>
      <c r="AI1849" s="1">
        <v>41498</v>
      </c>
      <c r="AJ1849" s="1">
        <v>41481</v>
      </c>
    </row>
    <row r="1850" spans="1:36" ht="15">
      <c r="A1850" t="str">
        <f>"5321547780"</f>
        <v>5321547780</v>
      </c>
      <c r="B1850" t="str">
        <f t="shared" si="73"/>
        <v>02406911202</v>
      </c>
      <c r="C1850" t="s">
        <v>13</v>
      </c>
      <c r="D1850" t="s">
        <v>1365</v>
      </c>
      <c r="E1850" t="s">
        <v>1367</v>
      </c>
      <c r="F1850" t="s">
        <v>796</v>
      </c>
      <c r="G1850" t="str">
        <f>"09238800156"</f>
        <v>09238800156</v>
      </c>
      <c r="I1850" t="s">
        <v>257</v>
      </c>
      <c r="L1850" t="s">
        <v>41</v>
      </c>
      <c r="M1850">
        <v>17050.22</v>
      </c>
      <c r="AG1850">
        <v>17050.22</v>
      </c>
      <c r="AH1850" s="1">
        <v>41367</v>
      </c>
      <c r="AI1850" s="1">
        <v>41586</v>
      </c>
      <c r="AJ1850" s="1">
        <v>41367</v>
      </c>
    </row>
    <row r="1851" spans="1:36" ht="15">
      <c r="A1851" t="str">
        <f>"5321577044"</f>
        <v>5321577044</v>
      </c>
      <c r="B1851" t="str">
        <f t="shared" si="73"/>
        <v>02406911202</v>
      </c>
      <c r="C1851" t="s">
        <v>13</v>
      </c>
      <c r="D1851" t="s">
        <v>1365</v>
      </c>
      <c r="E1851" t="s">
        <v>1367</v>
      </c>
      <c r="F1851" t="s">
        <v>796</v>
      </c>
      <c r="G1851" t="str">
        <f>"03906850262"</f>
        <v>03906850262</v>
      </c>
      <c r="I1851" t="s">
        <v>1403</v>
      </c>
      <c r="L1851" t="s">
        <v>41</v>
      </c>
      <c r="M1851">
        <v>3092.3</v>
      </c>
      <c r="AG1851">
        <v>3092.3</v>
      </c>
      <c r="AH1851" s="1">
        <v>41383</v>
      </c>
      <c r="AI1851" s="1">
        <v>41620</v>
      </c>
      <c r="AJ1851" s="1">
        <v>41383</v>
      </c>
    </row>
    <row r="1852" spans="1:36" ht="15">
      <c r="A1852" t="str">
        <f>"5321658318"</f>
        <v>5321658318</v>
      </c>
      <c r="B1852" t="str">
        <f t="shared" si="73"/>
        <v>02406911202</v>
      </c>
      <c r="C1852" t="s">
        <v>13</v>
      </c>
      <c r="D1852" t="s">
        <v>1365</v>
      </c>
      <c r="E1852" t="s">
        <v>1367</v>
      </c>
      <c r="F1852" t="s">
        <v>796</v>
      </c>
      <c r="G1852" t="str">
        <f>"00595400391"</f>
        <v>00595400391</v>
      </c>
      <c r="I1852" t="s">
        <v>1404</v>
      </c>
      <c r="L1852" t="s">
        <v>41</v>
      </c>
      <c r="M1852">
        <v>126.87</v>
      </c>
      <c r="AG1852">
        <v>126.87</v>
      </c>
      <c r="AH1852" s="1">
        <v>41519</v>
      </c>
      <c r="AI1852" s="1">
        <v>41529</v>
      </c>
      <c r="AJ1852" s="1">
        <v>41519</v>
      </c>
    </row>
    <row r="1853" spans="1:36" ht="15">
      <c r="A1853" t="str">
        <f>"5322628393"</f>
        <v>5322628393</v>
      </c>
      <c r="B1853" t="str">
        <f t="shared" si="73"/>
        <v>02406911202</v>
      </c>
      <c r="C1853" t="s">
        <v>13</v>
      </c>
      <c r="D1853" t="s">
        <v>1365</v>
      </c>
      <c r="E1853" t="s">
        <v>1367</v>
      </c>
      <c r="F1853" t="s">
        <v>796</v>
      </c>
      <c r="G1853" t="str">
        <f>"00420820383"</f>
        <v>00420820383</v>
      </c>
      <c r="I1853" t="s">
        <v>496</v>
      </c>
      <c r="L1853" t="s">
        <v>41</v>
      </c>
      <c r="M1853">
        <v>489</v>
      </c>
      <c r="AG1853">
        <v>489</v>
      </c>
      <c r="AH1853" s="1">
        <v>41493</v>
      </c>
      <c r="AI1853" s="1">
        <v>41503</v>
      </c>
      <c r="AJ1853" s="1">
        <v>41493</v>
      </c>
    </row>
    <row r="1854" spans="1:36" ht="15">
      <c r="A1854" t="str">
        <f>"5338935489"</f>
        <v>5338935489</v>
      </c>
      <c r="B1854" t="str">
        <f t="shared" si="73"/>
        <v>02406911202</v>
      </c>
      <c r="C1854" t="s">
        <v>13</v>
      </c>
      <c r="D1854" t="s">
        <v>1365</v>
      </c>
      <c r="E1854" t="s">
        <v>1367</v>
      </c>
      <c r="F1854" t="s">
        <v>796</v>
      </c>
      <c r="G1854" t="str">
        <f>"00527500540"</f>
        <v>00527500540</v>
      </c>
      <c r="I1854" t="s">
        <v>1375</v>
      </c>
      <c r="L1854" t="s">
        <v>41</v>
      </c>
      <c r="M1854">
        <v>772.42</v>
      </c>
      <c r="AG1854">
        <v>771.42</v>
      </c>
      <c r="AH1854" s="1">
        <v>41534</v>
      </c>
      <c r="AI1854" s="1">
        <v>41544</v>
      </c>
      <c r="AJ1854" s="1">
        <v>41534</v>
      </c>
    </row>
    <row r="1855" spans="1:36" ht="15">
      <c r="A1855" t="str">
        <f>"5338988047"</f>
        <v>5338988047</v>
      </c>
      <c r="B1855" t="str">
        <f t="shared" si="73"/>
        <v>02406911202</v>
      </c>
      <c r="C1855" t="s">
        <v>13</v>
      </c>
      <c r="D1855" t="s">
        <v>1365</v>
      </c>
      <c r="E1855" t="s">
        <v>1367</v>
      </c>
      <c r="F1855" t="s">
        <v>796</v>
      </c>
      <c r="G1855" t="str">
        <f>"02405040284"</f>
        <v>02405040284</v>
      </c>
      <c r="I1855" t="s">
        <v>410</v>
      </c>
      <c r="L1855" t="s">
        <v>41</v>
      </c>
      <c r="M1855">
        <v>2545</v>
      </c>
      <c r="AG1855">
        <v>1270</v>
      </c>
      <c r="AH1855" s="1">
        <v>41275</v>
      </c>
      <c r="AI1855" s="1">
        <v>41285</v>
      </c>
      <c r="AJ1855" s="1">
        <v>41275</v>
      </c>
    </row>
    <row r="1856" spans="1:36" ht="15">
      <c r="A1856" t="str">
        <f>"5339744026"</f>
        <v>5339744026</v>
      </c>
      <c r="B1856" t="str">
        <f t="shared" si="73"/>
        <v>02406911202</v>
      </c>
      <c r="C1856" t="s">
        <v>13</v>
      </c>
      <c r="D1856" t="s">
        <v>1365</v>
      </c>
      <c r="E1856" t="s">
        <v>1374</v>
      </c>
      <c r="F1856" t="s">
        <v>796</v>
      </c>
      <c r="G1856" t="str">
        <f>"05131180969"</f>
        <v>05131180969</v>
      </c>
      <c r="I1856" t="s">
        <v>516</v>
      </c>
      <c r="L1856" t="s">
        <v>41</v>
      </c>
      <c r="M1856">
        <v>900</v>
      </c>
      <c r="AG1856">
        <v>900</v>
      </c>
      <c r="AH1856" s="1">
        <v>41372</v>
      </c>
      <c r="AI1856" s="1">
        <v>41382</v>
      </c>
      <c r="AJ1856" s="1">
        <v>41372</v>
      </c>
    </row>
    <row r="1857" spans="1:36" ht="15">
      <c r="A1857" t="str">
        <f>"5339887626"</f>
        <v>5339887626</v>
      </c>
      <c r="B1857" t="str">
        <f t="shared" si="73"/>
        <v>02406911202</v>
      </c>
      <c r="C1857" t="s">
        <v>13</v>
      </c>
      <c r="D1857" t="s">
        <v>1365</v>
      </c>
      <c r="E1857" t="s">
        <v>1374</v>
      </c>
      <c r="F1857" t="s">
        <v>796</v>
      </c>
      <c r="G1857" t="str">
        <f>"00420820383"</f>
        <v>00420820383</v>
      </c>
      <c r="I1857" t="s">
        <v>496</v>
      </c>
      <c r="L1857" t="s">
        <v>41</v>
      </c>
      <c r="M1857">
        <v>5300</v>
      </c>
      <c r="AG1857">
        <v>5294.5</v>
      </c>
      <c r="AH1857" s="1">
        <v>41477</v>
      </c>
      <c r="AI1857" s="1">
        <v>41588</v>
      </c>
      <c r="AJ1857" s="1">
        <v>41477</v>
      </c>
    </row>
    <row r="1858" spans="1:36" ht="15">
      <c r="A1858" t="str">
        <f>"5339925582"</f>
        <v>5339925582</v>
      </c>
      <c r="B1858" t="str">
        <f aca="true" t="shared" si="74" ref="B1858:B1921">"02406911202"</f>
        <v>02406911202</v>
      </c>
      <c r="C1858" t="s">
        <v>13</v>
      </c>
      <c r="D1858" t="s">
        <v>1365</v>
      </c>
      <c r="E1858" t="s">
        <v>1376</v>
      </c>
      <c r="F1858" t="s">
        <v>796</v>
      </c>
      <c r="G1858" t="str">
        <f>"01151500384"</f>
        <v>01151500384</v>
      </c>
      <c r="I1858" t="s">
        <v>1405</v>
      </c>
      <c r="L1858" t="s">
        <v>41</v>
      </c>
      <c r="M1858">
        <v>1050</v>
      </c>
      <c r="AG1858">
        <v>1050</v>
      </c>
      <c r="AH1858" s="1">
        <v>41535</v>
      </c>
      <c r="AI1858" s="1">
        <v>41545</v>
      </c>
      <c r="AJ1858" s="1">
        <v>41535</v>
      </c>
    </row>
    <row r="1859" spans="1:36" ht="15">
      <c r="A1859" t="str">
        <f>"5339939111"</f>
        <v>5339939111</v>
      </c>
      <c r="B1859" t="str">
        <f t="shared" si="74"/>
        <v>02406911202</v>
      </c>
      <c r="C1859" t="s">
        <v>13</v>
      </c>
      <c r="D1859" t="s">
        <v>1365</v>
      </c>
      <c r="E1859" t="s">
        <v>1376</v>
      </c>
      <c r="F1859" t="s">
        <v>796</v>
      </c>
      <c r="G1859" t="str">
        <f>"04488650484"</f>
        <v>04488650484</v>
      </c>
      <c r="I1859" t="s">
        <v>1406</v>
      </c>
      <c r="L1859" t="s">
        <v>41</v>
      </c>
      <c r="M1859">
        <v>733.2</v>
      </c>
      <c r="AG1859">
        <v>733.2</v>
      </c>
      <c r="AH1859" s="1">
        <v>41407</v>
      </c>
      <c r="AI1859" s="1">
        <v>41417</v>
      </c>
      <c r="AJ1859" s="1">
        <v>41407</v>
      </c>
    </row>
    <row r="1860" spans="1:36" ht="15">
      <c r="A1860" t="str">
        <f>"5401286236"</f>
        <v>5401286236</v>
      </c>
      <c r="B1860" t="str">
        <f t="shared" si="74"/>
        <v>02406911202</v>
      </c>
      <c r="C1860" t="s">
        <v>13</v>
      </c>
      <c r="D1860" t="s">
        <v>1365</v>
      </c>
      <c r="E1860" t="s">
        <v>1368</v>
      </c>
      <c r="F1860" t="s">
        <v>796</v>
      </c>
      <c r="G1860" t="str">
        <f>"02848620163"</f>
        <v>02848620163</v>
      </c>
      <c r="I1860" t="s">
        <v>1407</v>
      </c>
      <c r="L1860" t="s">
        <v>41</v>
      </c>
      <c r="M1860">
        <v>18266</v>
      </c>
      <c r="AG1860">
        <v>18266</v>
      </c>
      <c r="AH1860" s="1">
        <v>41575</v>
      </c>
      <c r="AI1860" s="1">
        <v>41585</v>
      </c>
      <c r="AJ1860" s="1">
        <v>41575</v>
      </c>
    </row>
    <row r="1861" spans="1:36" ht="15">
      <c r="A1861" t="str">
        <f>"5417828519"</f>
        <v>5417828519</v>
      </c>
      <c r="B1861" t="str">
        <f t="shared" si="74"/>
        <v>02406911202</v>
      </c>
      <c r="C1861" t="s">
        <v>13</v>
      </c>
      <c r="D1861" t="s">
        <v>1365</v>
      </c>
      <c r="E1861" t="s">
        <v>1374</v>
      </c>
      <c r="F1861" t="s">
        <v>796</v>
      </c>
      <c r="G1861" t="str">
        <f>"00856750153"</f>
        <v>00856750153</v>
      </c>
      <c r="I1861" t="s">
        <v>54</v>
      </c>
      <c r="L1861" t="s">
        <v>41</v>
      </c>
      <c r="M1861">
        <v>18268</v>
      </c>
      <c r="AG1861">
        <v>17570.62</v>
      </c>
      <c r="AH1861" s="1">
        <v>41563</v>
      </c>
      <c r="AI1861" s="1">
        <v>41635</v>
      </c>
      <c r="AJ1861" s="1">
        <v>41563</v>
      </c>
    </row>
    <row r="1862" spans="1:36" ht="15">
      <c r="A1862" t="str">
        <f>"5423588666"</f>
        <v>5423588666</v>
      </c>
      <c r="B1862" t="str">
        <f t="shared" si="74"/>
        <v>02406911202</v>
      </c>
      <c r="C1862" t="s">
        <v>13</v>
      </c>
      <c r="D1862" t="s">
        <v>1365</v>
      </c>
      <c r="E1862" t="s">
        <v>1368</v>
      </c>
      <c r="F1862" t="s">
        <v>796</v>
      </c>
      <c r="G1862" t="str">
        <f>"04179600483"</f>
        <v>04179600483</v>
      </c>
      <c r="I1862" t="s">
        <v>1408</v>
      </c>
      <c r="L1862" t="s">
        <v>41</v>
      </c>
      <c r="M1862">
        <v>1740</v>
      </c>
      <c r="AG1862">
        <v>1740</v>
      </c>
      <c r="AH1862" s="1">
        <v>41586</v>
      </c>
      <c r="AI1862" s="1">
        <v>41596</v>
      </c>
      <c r="AJ1862" s="1">
        <v>41586</v>
      </c>
    </row>
    <row r="1863" spans="1:36" ht="15">
      <c r="A1863" t="str">
        <f>"5423645570"</f>
        <v>5423645570</v>
      </c>
      <c r="B1863" t="str">
        <f t="shared" si="74"/>
        <v>02406911202</v>
      </c>
      <c r="C1863" t="s">
        <v>13</v>
      </c>
      <c r="D1863" t="s">
        <v>1365</v>
      </c>
      <c r="E1863" t="s">
        <v>1366</v>
      </c>
      <c r="F1863" t="s">
        <v>796</v>
      </c>
      <c r="G1863" t="str">
        <f>"00615700374"</f>
        <v>00615700374</v>
      </c>
      <c r="I1863" t="s">
        <v>172</v>
      </c>
      <c r="L1863" t="s">
        <v>41</v>
      </c>
      <c r="M1863">
        <v>4350</v>
      </c>
      <c r="AG1863">
        <v>4350</v>
      </c>
      <c r="AH1863" s="1">
        <v>41605</v>
      </c>
      <c r="AI1863" s="1">
        <v>41615</v>
      </c>
      <c r="AJ1863" s="1">
        <v>41605</v>
      </c>
    </row>
    <row r="1864" spans="1:36" ht="15">
      <c r="A1864" t="str">
        <f>"5491832322"</f>
        <v>5491832322</v>
      </c>
      <c r="B1864" t="str">
        <f t="shared" si="74"/>
        <v>02406911202</v>
      </c>
      <c r="C1864" t="s">
        <v>13</v>
      </c>
      <c r="D1864" t="s">
        <v>1365</v>
      </c>
      <c r="E1864" t="s">
        <v>1390</v>
      </c>
      <c r="F1864" t="s">
        <v>796</v>
      </c>
      <c r="G1864" t="str">
        <f>"00805390283"</f>
        <v>00805390283</v>
      </c>
      <c r="I1864" t="s">
        <v>662</v>
      </c>
      <c r="L1864" t="s">
        <v>41</v>
      </c>
      <c r="M1864">
        <v>205</v>
      </c>
      <c r="AG1864">
        <v>205</v>
      </c>
      <c r="AH1864" s="1">
        <v>41619</v>
      </c>
      <c r="AI1864" s="1">
        <v>41629</v>
      </c>
      <c r="AJ1864" s="1">
        <v>41619</v>
      </c>
    </row>
    <row r="1865" spans="1:36" ht="15">
      <c r="A1865" t="str">
        <f>"5562624689"</f>
        <v>5562624689</v>
      </c>
      <c r="B1865" t="str">
        <f t="shared" si="74"/>
        <v>02406911202</v>
      </c>
      <c r="C1865" t="s">
        <v>13</v>
      </c>
      <c r="D1865" t="s">
        <v>1365</v>
      </c>
      <c r="E1865" t="s">
        <v>1367</v>
      </c>
      <c r="F1865" t="s">
        <v>796</v>
      </c>
      <c r="G1865" t="str">
        <f>"00934960352"</f>
        <v>00934960352</v>
      </c>
      <c r="I1865" t="s">
        <v>661</v>
      </c>
      <c r="L1865" t="s">
        <v>41</v>
      </c>
      <c r="M1865">
        <v>335.5</v>
      </c>
      <c r="AG1865">
        <v>335.5</v>
      </c>
      <c r="AH1865" s="1">
        <v>41568</v>
      </c>
      <c r="AI1865" s="1">
        <v>41578</v>
      </c>
      <c r="AJ1865" s="1">
        <v>41568</v>
      </c>
    </row>
    <row r="1866" spans="1:36" ht="15">
      <c r="A1866" t="str">
        <f>"5580287681"</f>
        <v>5580287681</v>
      </c>
      <c r="B1866" t="str">
        <f t="shared" si="74"/>
        <v>02406911202</v>
      </c>
      <c r="C1866" t="s">
        <v>13</v>
      </c>
      <c r="D1866" t="s">
        <v>1365</v>
      </c>
      <c r="E1866" t="s">
        <v>1367</v>
      </c>
      <c r="F1866" t="s">
        <v>796</v>
      </c>
      <c r="G1866" t="str">
        <f>"02705540165"</f>
        <v>02705540165</v>
      </c>
      <c r="I1866" t="s">
        <v>408</v>
      </c>
      <c r="L1866" t="s">
        <v>41</v>
      </c>
      <c r="M1866">
        <v>9493</v>
      </c>
      <c r="AG1866">
        <v>0</v>
      </c>
      <c r="AH1866" s="1">
        <v>41275</v>
      </c>
      <c r="AI1866" s="1">
        <v>41285</v>
      </c>
      <c r="AJ1866" s="1">
        <v>41275</v>
      </c>
    </row>
    <row r="1867" spans="1:36" ht="15">
      <c r="A1867" t="str">
        <f>"5580323437"</f>
        <v>5580323437</v>
      </c>
      <c r="B1867" t="str">
        <f t="shared" si="74"/>
        <v>02406911202</v>
      </c>
      <c r="C1867" t="s">
        <v>13</v>
      </c>
      <c r="D1867" t="s">
        <v>1365</v>
      </c>
      <c r="E1867" t="s">
        <v>1367</v>
      </c>
      <c r="F1867" t="s">
        <v>796</v>
      </c>
      <c r="G1867" t="str">
        <f>"05419841001"</f>
        <v>05419841001</v>
      </c>
      <c r="I1867" t="s">
        <v>1409</v>
      </c>
      <c r="L1867" t="s">
        <v>41</v>
      </c>
      <c r="M1867">
        <v>2945</v>
      </c>
      <c r="AG1867">
        <v>2426.5</v>
      </c>
      <c r="AH1867" s="1">
        <v>41275</v>
      </c>
      <c r="AI1867" s="1">
        <v>41285</v>
      </c>
      <c r="AJ1867" s="1">
        <v>41275</v>
      </c>
    </row>
    <row r="1868" spans="1:36" ht="15">
      <c r="A1868" t="str">
        <f>"5580539676"</f>
        <v>5580539676</v>
      </c>
      <c r="B1868" t="str">
        <f t="shared" si="74"/>
        <v>02406911202</v>
      </c>
      <c r="C1868" t="s">
        <v>13</v>
      </c>
      <c r="D1868" t="s">
        <v>1365</v>
      </c>
      <c r="E1868" t="s">
        <v>1367</v>
      </c>
      <c r="F1868" t="s">
        <v>796</v>
      </c>
      <c r="G1868" t="str">
        <f>"03137680488"</f>
        <v>03137680488</v>
      </c>
      <c r="I1868" t="s">
        <v>1410</v>
      </c>
      <c r="L1868" t="s">
        <v>41</v>
      </c>
      <c r="M1868">
        <v>755.15</v>
      </c>
      <c r="AG1868">
        <v>755.15</v>
      </c>
      <c r="AH1868" s="1">
        <v>41275</v>
      </c>
      <c r="AI1868" s="1">
        <v>41285</v>
      </c>
      <c r="AJ1868" s="1">
        <v>41275</v>
      </c>
    </row>
    <row r="1869" spans="1:36" ht="15">
      <c r="A1869" t="str">
        <f>"54433656E5"</f>
        <v>54433656E5</v>
      </c>
      <c r="B1869" t="str">
        <f t="shared" si="74"/>
        <v>02406911202</v>
      </c>
      <c r="C1869" t="s">
        <v>13</v>
      </c>
      <c r="D1869" t="s">
        <v>1365</v>
      </c>
      <c r="E1869" t="s">
        <v>1367</v>
      </c>
      <c r="F1869" t="s">
        <v>796</v>
      </c>
      <c r="G1869" t="str">
        <f>"01854280367"</f>
        <v>01854280367</v>
      </c>
      <c r="I1869" t="s">
        <v>1381</v>
      </c>
      <c r="L1869" t="s">
        <v>41</v>
      </c>
      <c r="M1869">
        <v>15821.82</v>
      </c>
      <c r="AG1869">
        <v>15821.82</v>
      </c>
      <c r="AH1869" s="1">
        <v>41597</v>
      </c>
      <c r="AI1869" s="1">
        <v>41607</v>
      </c>
      <c r="AJ1869" s="1">
        <v>41597</v>
      </c>
    </row>
    <row r="1870" spans="1:36" ht="15">
      <c r="A1870" t="str">
        <f>"53339155E6"</f>
        <v>53339155E6</v>
      </c>
      <c r="B1870" t="str">
        <f t="shared" si="74"/>
        <v>02406911202</v>
      </c>
      <c r="C1870" t="s">
        <v>13</v>
      </c>
      <c r="D1870" t="s">
        <v>1365</v>
      </c>
      <c r="E1870" t="s">
        <v>1390</v>
      </c>
      <c r="F1870" t="s">
        <v>796</v>
      </c>
      <c r="G1870" t="str">
        <f>"01193630520"</f>
        <v>01193630520</v>
      </c>
      <c r="I1870" t="s">
        <v>1256</v>
      </c>
      <c r="L1870" t="s">
        <v>41</v>
      </c>
      <c r="M1870">
        <v>296.33</v>
      </c>
      <c r="AG1870">
        <v>296.33</v>
      </c>
      <c r="AH1870" s="1">
        <v>41541</v>
      </c>
      <c r="AI1870" s="1">
        <v>41551</v>
      </c>
      <c r="AJ1870" s="1">
        <v>41541</v>
      </c>
    </row>
    <row r="1871" spans="1:36" ht="15">
      <c r="A1871" t="str">
        <f>"50880431E9"</f>
        <v>50880431E9</v>
      </c>
      <c r="B1871" t="str">
        <f t="shared" si="74"/>
        <v>02406911202</v>
      </c>
      <c r="C1871" t="s">
        <v>13</v>
      </c>
      <c r="D1871" t="s">
        <v>1365</v>
      </c>
      <c r="E1871" t="s">
        <v>1367</v>
      </c>
      <c r="F1871" t="s">
        <v>796</v>
      </c>
      <c r="G1871" t="str">
        <f>"02318260649"</f>
        <v>02318260649</v>
      </c>
      <c r="I1871" t="s">
        <v>1411</v>
      </c>
      <c r="L1871" t="s">
        <v>41</v>
      </c>
      <c r="M1871">
        <v>4150</v>
      </c>
      <c r="AG1871">
        <v>4150</v>
      </c>
      <c r="AH1871" s="1">
        <v>41284</v>
      </c>
      <c r="AI1871" s="1">
        <v>41428</v>
      </c>
      <c r="AJ1871" s="1">
        <v>41284</v>
      </c>
    </row>
    <row r="1872" spans="1:36" ht="15">
      <c r="A1872" t="str">
        <f>"5052344E26"</f>
        <v>5052344E26</v>
      </c>
      <c r="B1872" t="str">
        <f t="shared" si="74"/>
        <v>02406911202</v>
      </c>
      <c r="C1872" t="s">
        <v>13</v>
      </c>
      <c r="D1872" t="s">
        <v>1365</v>
      </c>
      <c r="E1872" t="s">
        <v>1367</v>
      </c>
      <c r="F1872" t="s">
        <v>796</v>
      </c>
      <c r="G1872" t="str">
        <f>"01584121204"</f>
        <v>01584121204</v>
      </c>
      <c r="I1872" t="s">
        <v>1412</v>
      </c>
      <c r="L1872" t="s">
        <v>41</v>
      </c>
      <c r="M1872">
        <v>7446.46</v>
      </c>
      <c r="AG1872">
        <v>7242.96</v>
      </c>
      <c r="AH1872" s="1">
        <v>41281</v>
      </c>
      <c r="AI1872" s="1">
        <v>41629</v>
      </c>
      <c r="AJ1872" s="1">
        <v>41281</v>
      </c>
    </row>
    <row r="1873" spans="1:36" ht="15">
      <c r="A1873" t="str">
        <f>"5040110E55"</f>
        <v>5040110E55</v>
      </c>
      <c r="B1873" t="str">
        <f t="shared" si="74"/>
        <v>02406911202</v>
      </c>
      <c r="C1873" t="s">
        <v>13</v>
      </c>
      <c r="D1873" t="s">
        <v>1365</v>
      </c>
      <c r="E1873" t="s">
        <v>1367</v>
      </c>
      <c r="F1873" t="s">
        <v>796</v>
      </c>
      <c r="G1873" t="str">
        <f>"00673410379"</f>
        <v>00673410379</v>
      </c>
      <c r="I1873" t="s">
        <v>1413</v>
      </c>
      <c r="L1873" t="s">
        <v>41</v>
      </c>
      <c r="M1873">
        <v>3632.5</v>
      </c>
      <c r="AG1873">
        <v>3632.5</v>
      </c>
      <c r="AH1873" s="1">
        <v>41306</v>
      </c>
      <c r="AI1873" s="1">
        <v>41648</v>
      </c>
      <c r="AJ1873" s="1">
        <v>41306</v>
      </c>
    </row>
    <row r="1874" spans="1:36" ht="15">
      <c r="A1874" t="str">
        <f>"5040595E91"</f>
        <v>5040595E91</v>
      </c>
      <c r="B1874" t="str">
        <f t="shared" si="74"/>
        <v>02406911202</v>
      </c>
      <c r="C1874" t="s">
        <v>13</v>
      </c>
      <c r="D1874" t="s">
        <v>1365</v>
      </c>
      <c r="E1874" t="s">
        <v>1367</v>
      </c>
      <c r="F1874" t="s">
        <v>796</v>
      </c>
      <c r="G1874" t="str">
        <f>"01911071007"</f>
        <v>01911071007</v>
      </c>
      <c r="I1874" t="s">
        <v>1414</v>
      </c>
      <c r="L1874" t="s">
        <v>41</v>
      </c>
      <c r="M1874">
        <v>11344.4</v>
      </c>
      <c r="AG1874">
        <v>11344.4</v>
      </c>
      <c r="AH1874" s="1">
        <v>41292</v>
      </c>
      <c r="AI1874" s="1">
        <v>41642</v>
      </c>
      <c r="AJ1874" s="1">
        <v>41292</v>
      </c>
    </row>
    <row r="1875" spans="1:36" ht="15">
      <c r="A1875" t="str">
        <f>"4858785C36"</f>
        <v>4858785C36</v>
      </c>
      <c r="B1875" t="str">
        <f t="shared" si="74"/>
        <v>02406911202</v>
      </c>
      <c r="C1875" t="s">
        <v>13</v>
      </c>
      <c r="D1875" t="s">
        <v>1365</v>
      </c>
      <c r="E1875" t="s">
        <v>1368</v>
      </c>
      <c r="F1875" t="s">
        <v>796</v>
      </c>
      <c r="G1875" t="str">
        <f>"01601690348"</f>
        <v>01601690348</v>
      </c>
      <c r="I1875" t="s">
        <v>1372</v>
      </c>
      <c r="L1875" t="s">
        <v>41</v>
      </c>
      <c r="M1875">
        <v>1990</v>
      </c>
      <c r="AG1875">
        <v>1990</v>
      </c>
      <c r="AH1875" s="1">
        <v>41290</v>
      </c>
      <c r="AI1875" s="1">
        <v>41300</v>
      </c>
      <c r="AJ1875" s="1">
        <v>41290</v>
      </c>
    </row>
    <row r="1876" spans="1:36" ht="15">
      <c r="A1876" t="str">
        <f>"486115827C"</f>
        <v>486115827C</v>
      </c>
      <c r="B1876" t="str">
        <f t="shared" si="74"/>
        <v>02406911202</v>
      </c>
      <c r="C1876" t="s">
        <v>13</v>
      </c>
      <c r="D1876" t="s">
        <v>1365</v>
      </c>
      <c r="E1876" t="s">
        <v>1367</v>
      </c>
      <c r="F1876" t="s">
        <v>796</v>
      </c>
      <c r="G1876" t="str">
        <f>"01893311009"</f>
        <v>01893311009</v>
      </c>
      <c r="I1876" t="s">
        <v>1415</v>
      </c>
      <c r="L1876" t="s">
        <v>41</v>
      </c>
      <c r="M1876">
        <v>7029.19</v>
      </c>
      <c r="AG1876">
        <v>7029.19</v>
      </c>
      <c r="AH1876" s="1">
        <v>41276</v>
      </c>
      <c r="AI1876" s="1">
        <v>41645</v>
      </c>
      <c r="AJ1876" s="1">
        <v>41276</v>
      </c>
    </row>
    <row r="1877" spans="1:36" ht="15">
      <c r="A1877" t="str">
        <f>"487473241A"</f>
        <v>487473241A</v>
      </c>
      <c r="B1877" t="str">
        <f t="shared" si="74"/>
        <v>02406911202</v>
      </c>
      <c r="C1877" t="s">
        <v>13</v>
      </c>
      <c r="D1877" t="s">
        <v>1365</v>
      </c>
      <c r="E1877" t="s">
        <v>1368</v>
      </c>
      <c r="F1877" t="s">
        <v>796</v>
      </c>
      <c r="G1877" t="str">
        <f>"00856750153"</f>
        <v>00856750153</v>
      </c>
      <c r="I1877" t="s">
        <v>54</v>
      </c>
      <c r="L1877" t="s">
        <v>41</v>
      </c>
      <c r="M1877">
        <v>4312</v>
      </c>
      <c r="AG1877">
        <v>4312</v>
      </c>
      <c r="AH1877" s="1">
        <v>41295</v>
      </c>
      <c r="AI1877" s="1">
        <v>41305</v>
      </c>
      <c r="AJ1877" s="1">
        <v>41295</v>
      </c>
    </row>
    <row r="1878" spans="1:36" ht="15">
      <c r="A1878" t="str">
        <f>"48762898F9"</f>
        <v>48762898F9</v>
      </c>
      <c r="B1878" t="str">
        <f t="shared" si="74"/>
        <v>02406911202</v>
      </c>
      <c r="C1878" t="s">
        <v>13</v>
      </c>
      <c r="D1878" t="s">
        <v>1365</v>
      </c>
      <c r="E1878" t="s">
        <v>1367</v>
      </c>
      <c r="F1878" t="s">
        <v>796</v>
      </c>
      <c r="G1878" t="str">
        <f>"06600500158"</f>
        <v>06600500158</v>
      </c>
      <c r="I1878" t="s">
        <v>176</v>
      </c>
      <c r="L1878" t="s">
        <v>41</v>
      </c>
      <c r="M1878">
        <v>4428.84</v>
      </c>
      <c r="AG1878">
        <v>4428.84</v>
      </c>
      <c r="AH1878" s="1">
        <v>41276</v>
      </c>
      <c r="AI1878" s="1">
        <v>41614</v>
      </c>
      <c r="AJ1878" s="1">
        <v>41276</v>
      </c>
    </row>
    <row r="1879" spans="1:36" ht="15">
      <c r="A1879" t="str">
        <f>"48944346B4"</f>
        <v>48944346B4</v>
      </c>
      <c r="B1879" t="str">
        <f t="shared" si="74"/>
        <v>02406911202</v>
      </c>
      <c r="C1879" t="s">
        <v>13</v>
      </c>
      <c r="D1879" t="s">
        <v>1365</v>
      </c>
      <c r="E1879" t="s">
        <v>1368</v>
      </c>
      <c r="F1879" t="s">
        <v>796</v>
      </c>
      <c r="G1879" t="str">
        <f>"03180931200"</f>
        <v>03180931200</v>
      </c>
      <c r="I1879" t="s">
        <v>1416</v>
      </c>
      <c r="L1879" t="s">
        <v>41</v>
      </c>
      <c r="M1879">
        <v>6160</v>
      </c>
      <c r="AG1879">
        <v>6160</v>
      </c>
      <c r="AH1879" s="1">
        <v>41302</v>
      </c>
      <c r="AI1879" s="1">
        <v>41312</v>
      </c>
      <c r="AJ1879" s="1">
        <v>41302</v>
      </c>
    </row>
    <row r="1880" spans="1:36" ht="15">
      <c r="A1880" t="str">
        <f>"489683219A"</f>
        <v>489683219A</v>
      </c>
      <c r="B1880" t="str">
        <f t="shared" si="74"/>
        <v>02406911202</v>
      </c>
      <c r="C1880" t="s">
        <v>13</v>
      </c>
      <c r="D1880" t="s">
        <v>1365</v>
      </c>
      <c r="E1880" t="s">
        <v>1367</v>
      </c>
      <c r="F1880" t="s">
        <v>796</v>
      </c>
      <c r="G1880" t="str">
        <f>"01439370287"</f>
        <v>01439370287</v>
      </c>
      <c r="I1880" t="s">
        <v>149</v>
      </c>
      <c r="L1880" t="s">
        <v>41</v>
      </c>
      <c r="M1880">
        <v>7209.21</v>
      </c>
      <c r="AG1880">
        <v>7209.2</v>
      </c>
      <c r="AH1880" s="1">
        <v>41295</v>
      </c>
      <c r="AI1880" s="1">
        <v>41596</v>
      </c>
      <c r="AJ1880" s="1">
        <v>41295</v>
      </c>
    </row>
    <row r="1881" spans="1:36" ht="15">
      <c r="A1881" t="str">
        <f>"4926065D6C"</f>
        <v>4926065D6C</v>
      </c>
      <c r="B1881" t="str">
        <f t="shared" si="74"/>
        <v>02406911202</v>
      </c>
      <c r="C1881" t="s">
        <v>13</v>
      </c>
      <c r="D1881" t="s">
        <v>1365</v>
      </c>
      <c r="E1881" t="s">
        <v>1390</v>
      </c>
      <c r="F1881" t="s">
        <v>796</v>
      </c>
      <c r="G1881" t="str">
        <f>"09234221001"</f>
        <v>09234221001</v>
      </c>
      <c r="I1881" t="s">
        <v>1154</v>
      </c>
      <c r="L1881" t="s">
        <v>41</v>
      </c>
      <c r="M1881">
        <v>278</v>
      </c>
      <c r="AG1881">
        <v>278</v>
      </c>
      <c r="AH1881" s="1">
        <v>41316</v>
      </c>
      <c r="AI1881" s="1">
        <v>41326</v>
      </c>
      <c r="AJ1881" s="1">
        <v>41316</v>
      </c>
    </row>
    <row r="1882" spans="1:36" ht="15">
      <c r="A1882" t="str">
        <f>"493177015A"</f>
        <v>493177015A</v>
      </c>
      <c r="B1882" t="str">
        <f t="shared" si="74"/>
        <v>02406911202</v>
      </c>
      <c r="C1882" t="s">
        <v>13</v>
      </c>
      <c r="D1882" t="s">
        <v>1365</v>
      </c>
      <c r="E1882" t="s">
        <v>1368</v>
      </c>
      <c r="F1882" t="s">
        <v>796</v>
      </c>
      <c r="G1882" t="str">
        <f>"01177620299"</f>
        <v>01177620299</v>
      </c>
      <c r="I1882" t="s">
        <v>1417</v>
      </c>
      <c r="L1882" t="s">
        <v>41</v>
      </c>
      <c r="M1882">
        <v>8264.45</v>
      </c>
      <c r="AG1882">
        <v>10000</v>
      </c>
      <c r="AH1882" s="1">
        <v>41326</v>
      </c>
      <c r="AI1882" s="1">
        <v>41336</v>
      </c>
      <c r="AJ1882" s="1">
        <v>41326</v>
      </c>
    </row>
    <row r="1883" spans="1:36" ht="15">
      <c r="A1883" t="str">
        <f>"4931864EEB"</f>
        <v>4931864EEB</v>
      </c>
      <c r="B1883" t="str">
        <f t="shared" si="74"/>
        <v>02406911202</v>
      </c>
      <c r="C1883" t="s">
        <v>13</v>
      </c>
      <c r="D1883" t="s">
        <v>1365</v>
      </c>
      <c r="E1883" t="s">
        <v>1368</v>
      </c>
      <c r="F1883" t="s">
        <v>796</v>
      </c>
      <c r="G1883" t="str">
        <f>"00615700374"</f>
        <v>00615700374</v>
      </c>
      <c r="I1883" t="s">
        <v>172</v>
      </c>
      <c r="L1883" t="s">
        <v>41</v>
      </c>
      <c r="M1883">
        <v>820</v>
      </c>
      <c r="AG1883">
        <v>820</v>
      </c>
      <c r="AH1883" s="1">
        <v>41318</v>
      </c>
      <c r="AI1883" s="1">
        <v>41328</v>
      </c>
      <c r="AJ1883" s="1">
        <v>41318</v>
      </c>
    </row>
    <row r="1884" spans="1:36" ht="15">
      <c r="A1884" t="str">
        <f>"4945126F0E"</f>
        <v>4945126F0E</v>
      </c>
      <c r="B1884" t="str">
        <f t="shared" si="74"/>
        <v>02406911202</v>
      </c>
      <c r="C1884" t="s">
        <v>13</v>
      </c>
      <c r="D1884" t="s">
        <v>1365</v>
      </c>
      <c r="E1884" t="s">
        <v>1367</v>
      </c>
      <c r="F1884" t="s">
        <v>796</v>
      </c>
      <c r="G1884" t="str">
        <f>"07077990013"</f>
        <v>07077990013</v>
      </c>
      <c r="I1884" t="s">
        <v>173</v>
      </c>
      <c r="L1884" t="s">
        <v>41</v>
      </c>
      <c r="M1884">
        <v>37770</v>
      </c>
      <c r="AG1884">
        <v>37770</v>
      </c>
      <c r="AH1884" s="1">
        <v>41296</v>
      </c>
      <c r="AI1884" s="1">
        <v>41620</v>
      </c>
      <c r="AJ1884" s="1">
        <v>41296</v>
      </c>
    </row>
    <row r="1885" spans="1:36" ht="15">
      <c r="A1885" t="str">
        <f>"495919050C"</f>
        <v>495919050C</v>
      </c>
      <c r="B1885" t="str">
        <f t="shared" si="74"/>
        <v>02406911202</v>
      </c>
      <c r="C1885" t="s">
        <v>13</v>
      </c>
      <c r="D1885" t="s">
        <v>1365</v>
      </c>
      <c r="E1885" t="s">
        <v>1367</v>
      </c>
      <c r="F1885" t="s">
        <v>796</v>
      </c>
      <c r="G1885" t="str">
        <f>"03663500969"</f>
        <v>03663500969</v>
      </c>
      <c r="I1885" t="s">
        <v>46</v>
      </c>
      <c r="L1885" t="s">
        <v>41</v>
      </c>
      <c r="M1885">
        <v>20257.97</v>
      </c>
      <c r="AG1885">
        <v>19479.43</v>
      </c>
      <c r="AH1885" s="1">
        <v>41319</v>
      </c>
      <c r="AI1885" s="1">
        <v>41607</v>
      </c>
      <c r="AJ1885" s="1">
        <v>41319</v>
      </c>
    </row>
    <row r="1886" spans="1:36" ht="15">
      <c r="A1886" t="str">
        <f>"49835771D7"</f>
        <v>49835771D7</v>
      </c>
      <c r="B1886" t="str">
        <f t="shared" si="74"/>
        <v>02406911202</v>
      </c>
      <c r="C1886" t="s">
        <v>13</v>
      </c>
      <c r="D1886" t="s">
        <v>1365</v>
      </c>
      <c r="E1886" t="s">
        <v>1367</v>
      </c>
      <c r="F1886" t="s">
        <v>796</v>
      </c>
      <c r="G1886" t="str">
        <f>"02221310044"</f>
        <v>02221310044</v>
      </c>
      <c r="I1886" t="s">
        <v>1418</v>
      </c>
      <c r="L1886" t="s">
        <v>41</v>
      </c>
      <c r="M1886">
        <v>7681.5</v>
      </c>
      <c r="AG1886">
        <v>7681.5</v>
      </c>
      <c r="AH1886" s="1">
        <v>41310</v>
      </c>
      <c r="AI1886" s="1">
        <v>41529</v>
      </c>
      <c r="AJ1886" s="1">
        <v>41310</v>
      </c>
    </row>
    <row r="1887" spans="1:36" ht="15">
      <c r="A1887" t="str">
        <f>"4998969FB4"</f>
        <v>4998969FB4</v>
      </c>
      <c r="B1887" t="str">
        <f t="shared" si="74"/>
        <v>02406911202</v>
      </c>
      <c r="C1887" t="s">
        <v>13</v>
      </c>
      <c r="D1887" t="s">
        <v>1365</v>
      </c>
      <c r="E1887" t="s">
        <v>1367</v>
      </c>
      <c r="F1887" t="s">
        <v>796</v>
      </c>
      <c r="G1887" t="str">
        <f>"11954900152"</f>
        <v>11954900152</v>
      </c>
      <c r="I1887" t="s">
        <v>1419</v>
      </c>
      <c r="L1887" t="s">
        <v>41</v>
      </c>
      <c r="M1887">
        <v>19805.84</v>
      </c>
      <c r="AG1887">
        <v>19510.14</v>
      </c>
      <c r="AH1887" s="1">
        <v>41341</v>
      </c>
      <c r="AI1887" s="1">
        <v>41624</v>
      </c>
      <c r="AJ1887" s="1">
        <v>41341</v>
      </c>
    </row>
    <row r="1888" spans="1:36" ht="15">
      <c r="A1888" t="str">
        <f>"499900094B"</f>
        <v>499900094B</v>
      </c>
      <c r="B1888" t="str">
        <f t="shared" si="74"/>
        <v>02406911202</v>
      </c>
      <c r="C1888" t="s">
        <v>13</v>
      </c>
      <c r="D1888" t="s">
        <v>1365</v>
      </c>
      <c r="E1888" t="s">
        <v>1367</v>
      </c>
      <c r="F1888" t="s">
        <v>796</v>
      </c>
      <c r="G1888" t="str">
        <f>"06032681006"</f>
        <v>06032681006</v>
      </c>
      <c r="I1888" t="s">
        <v>342</v>
      </c>
      <c r="L1888" t="s">
        <v>41</v>
      </c>
      <c r="M1888">
        <v>39000</v>
      </c>
      <c r="AG1888">
        <v>38209.93</v>
      </c>
      <c r="AH1888" s="1">
        <v>41283</v>
      </c>
      <c r="AI1888" s="1">
        <v>41539</v>
      </c>
      <c r="AJ1888" s="1">
        <v>41283</v>
      </c>
    </row>
    <row r="1889" spans="1:36" ht="15">
      <c r="A1889" t="str">
        <f>"499903562E"</f>
        <v>499903562E</v>
      </c>
      <c r="B1889" t="str">
        <f t="shared" si="74"/>
        <v>02406911202</v>
      </c>
      <c r="C1889" t="s">
        <v>13</v>
      </c>
      <c r="D1889" t="s">
        <v>1365</v>
      </c>
      <c r="E1889" t="s">
        <v>1374</v>
      </c>
      <c r="F1889" t="s">
        <v>796</v>
      </c>
      <c r="G1889" t="str">
        <f>"00079040374"</f>
        <v>00079040374</v>
      </c>
      <c r="I1889" t="s">
        <v>1420</v>
      </c>
      <c r="L1889" t="s">
        <v>41</v>
      </c>
      <c r="M1889">
        <v>7800</v>
      </c>
      <c r="AG1889">
        <v>7800</v>
      </c>
      <c r="AH1889" s="1">
        <v>41346</v>
      </c>
      <c r="AI1889" s="1">
        <v>41356</v>
      </c>
      <c r="AJ1889" s="1">
        <v>41346</v>
      </c>
    </row>
    <row r="1890" spans="1:36" ht="15">
      <c r="A1890" t="str">
        <f>"5005904AA7"</f>
        <v>5005904AA7</v>
      </c>
      <c r="B1890" t="str">
        <f t="shared" si="74"/>
        <v>02406911202</v>
      </c>
      <c r="C1890" t="s">
        <v>13</v>
      </c>
      <c r="D1890" t="s">
        <v>1365</v>
      </c>
      <c r="E1890" t="s">
        <v>1390</v>
      </c>
      <c r="F1890" t="s">
        <v>796</v>
      </c>
      <c r="G1890" t="str">
        <f>"00435080304"</f>
        <v>00435080304</v>
      </c>
      <c r="I1890" t="s">
        <v>1421</v>
      </c>
      <c r="L1890" t="s">
        <v>41</v>
      </c>
      <c r="M1890">
        <v>2600</v>
      </c>
      <c r="AG1890">
        <v>2600</v>
      </c>
      <c r="AH1890" s="1">
        <v>41351</v>
      </c>
      <c r="AI1890" s="1">
        <v>41361</v>
      </c>
      <c r="AJ1890" s="1">
        <v>41351</v>
      </c>
    </row>
    <row r="1891" spans="1:36" ht="15">
      <c r="A1891" t="str">
        <f>"500593978A"</f>
        <v>500593978A</v>
      </c>
      <c r="B1891" t="str">
        <f t="shared" si="74"/>
        <v>02406911202</v>
      </c>
      <c r="C1891" t="s">
        <v>13</v>
      </c>
      <c r="D1891" t="s">
        <v>1365</v>
      </c>
      <c r="E1891" t="s">
        <v>1390</v>
      </c>
      <c r="F1891" t="s">
        <v>796</v>
      </c>
      <c r="G1891" t="str">
        <f>"01354901215"</f>
        <v>01354901215</v>
      </c>
      <c r="I1891" t="s">
        <v>1422</v>
      </c>
      <c r="L1891" t="s">
        <v>41</v>
      </c>
      <c r="M1891">
        <v>2560</v>
      </c>
      <c r="AG1891">
        <v>2560</v>
      </c>
      <c r="AH1891" s="1">
        <v>41351</v>
      </c>
      <c r="AI1891" s="1">
        <v>41361</v>
      </c>
      <c r="AJ1891" s="1">
        <v>41351</v>
      </c>
    </row>
    <row r="1892" spans="1:36" ht="15">
      <c r="A1892" t="str">
        <f>"500839524D"</f>
        <v>500839524D</v>
      </c>
      <c r="B1892" t="str">
        <f t="shared" si="74"/>
        <v>02406911202</v>
      </c>
      <c r="C1892" t="s">
        <v>13</v>
      </c>
      <c r="D1892" t="s">
        <v>1365</v>
      </c>
      <c r="E1892" t="s">
        <v>1367</v>
      </c>
      <c r="F1892" t="s">
        <v>796</v>
      </c>
      <c r="G1892" t="str">
        <f>"04888840487"</f>
        <v>04888840487</v>
      </c>
      <c r="I1892" t="s">
        <v>977</v>
      </c>
      <c r="L1892" t="s">
        <v>41</v>
      </c>
      <c r="M1892">
        <v>7439</v>
      </c>
      <c r="AG1892">
        <v>7439</v>
      </c>
      <c r="AH1892" s="1">
        <v>41317</v>
      </c>
      <c r="AI1892" s="1">
        <v>41616</v>
      </c>
      <c r="AJ1892" s="1">
        <v>41317</v>
      </c>
    </row>
    <row r="1893" spans="1:36" ht="15">
      <c r="A1893" t="str">
        <f>"5027005FBE"</f>
        <v>5027005FBE</v>
      </c>
      <c r="B1893" t="str">
        <f t="shared" si="74"/>
        <v>02406911202</v>
      </c>
      <c r="C1893" t="s">
        <v>13</v>
      </c>
      <c r="D1893" t="s">
        <v>1365</v>
      </c>
      <c r="E1893" t="s">
        <v>1368</v>
      </c>
      <c r="F1893" t="s">
        <v>796</v>
      </c>
      <c r="G1893" t="str">
        <f>"04251280378"</f>
        <v>04251280378</v>
      </c>
      <c r="I1893" t="s">
        <v>612</v>
      </c>
      <c r="L1893" t="s">
        <v>41</v>
      </c>
      <c r="M1893">
        <v>6190</v>
      </c>
      <c r="AG1893">
        <v>6190</v>
      </c>
      <c r="AH1893" s="1">
        <v>41359</v>
      </c>
      <c r="AI1893" s="1">
        <v>41369</v>
      </c>
      <c r="AJ1893" s="1">
        <v>41359</v>
      </c>
    </row>
    <row r="1894" spans="1:36" ht="15">
      <c r="A1894" t="str">
        <f>"5030219C06"</f>
        <v>5030219C06</v>
      </c>
      <c r="B1894" t="str">
        <f t="shared" si="74"/>
        <v>02406911202</v>
      </c>
      <c r="C1894" t="s">
        <v>13</v>
      </c>
      <c r="D1894" t="s">
        <v>1365</v>
      </c>
      <c r="E1894" t="s">
        <v>1374</v>
      </c>
      <c r="F1894" t="s">
        <v>796</v>
      </c>
      <c r="G1894" t="str">
        <f>"01746511201"</f>
        <v>01746511201</v>
      </c>
      <c r="I1894" t="s">
        <v>1423</v>
      </c>
      <c r="L1894" t="s">
        <v>41</v>
      </c>
      <c r="M1894">
        <v>4193.5</v>
      </c>
      <c r="AG1894">
        <v>4193.5</v>
      </c>
      <c r="AH1894" s="1">
        <v>41298</v>
      </c>
      <c r="AI1894" s="1">
        <v>41578</v>
      </c>
      <c r="AJ1894" s="1">
        <v>41298</v>
      </c>
    </row>
    <row r="1895" spans="1:36" ht="15">
      <c r="A1895" t="str">
        <f>"5030610EAF"</f>
        <v>5030610EAF</v>
      </c>
      <c r="B1895" t="str">
        <f t="shared" si="74"/>
        <v>02406911202</v>
      </c>
      <c r="C1895" t="s">
        <v>13</v>
      </c>
      <c r="D1895" t="s">
        <v>1365</v>
      </c>
      <c r="E1895" t="s">
        <v>1374</v>
      </c>
      <c r="F1895" t="s">
        <v>796</v>
      </c>
      <c r="G1895" t="str">
        <f>"02481080964"</f>
        <v>02481080964</v>
      </c>
      <c r="I1895" t="s">
        <v>92</v>
      </c>
      <c r="L1895" t="s">
        <v>41</v>
      </c>
      <c r="M1895">
        <v>2320</v>
      </c>
      <c r="AG1895">
        <v>2320</v>
      </c>
      <c r="AH1895" s="1">
        <v>41298</v>
      </c>
      <c r="AI1895" s="1">
        <v>41308</v>
      </c>
      <c r="AJ1895" s="1">
        <v>41298</v>
      </c>
    </row>
    <row r="1896" spans="1:36" ht="15">
      <c r="A1896" t="str">
        <f>"5030624A3E"</f>
        <v>5030624A3E</v>
      </c>
      <c r="B1896" t="str">
        <f t="shared" si="74"/>
        <v>02406911202</v>
      </c>
      <c r="C1896" t="s">
        <v>13</v>
      </c>
      <c r="D1896" t="s">
        <v>1365</v>
      </c>
      <c r="E1896" t="s">
        <v>1374</v>
      </c>
      <c r="F1896" t="s">
        <v>796</v>
      </c>
      <c r="G1896" t="str">
        <f>"01889461206"</f>
        <v>01889461206</v>
      </c>
      <c r="I1896" t="s">
        <v>1424</v>
      </c>
      <c r="L1896" t="s">
        <v>41</v>
      </c>
      <c r="M1896">
        <v>6718.52</v>
      </c>
      <c r="AG1896">
        <v>6718.52</v>
      </c>
      <c r="AH1896" s="1">
        <v>41331</v>
      </c>
      <c r="AI1896" s="1">
        <v>41369</v>
      </c>
      <c r="AJ1896" s="1">
        <v>41331</v>
      </c>
    </row>
    <row r="1897" spans="1:36" ht="15">
      <c r="A1897" t="str">
        <f>"503065757B"</f>
        <v>503065757B</v>
      </c>
      <c r="B1897" t="str">
        <f t="shared" si="74"/>
        <v>02406911202</v>
      </c>
      <c r="C1897" t="s">
        <v>13</v>
      </c>
      <c r="D1897" t="s">
        <v>1365</v>
      </c>
      <c r="E1897" t="s">
        <v>1374</v>
      </c>
      <c r="F1897" t="s">
        <v>796</v>
      </c>
      <c r="G1897" t="str">
        <f>"00612660399"</f>
        <v>00612660399</v>
      </c>
      <c r="I1897" t="s">
        <v>1335</v>
      </c>
      <c r="L1897" t="s">
        <v>41</v>
      </c>
      <c r="M1897">
        <v>1950</v>
      </c>
      <c r="AG1897">
        <v>1950</v>
      </c>
      <c r="AH1897" s="1">
        <v>41298</v>
      </c>
      <c r="AI1897" s="1">
        <v>41308</v>
      </c>
      <c r="AJ1897" s="1">
        <v>41298</v>
      </c>
    </row>
    <row r="1898" spans="1:36" ht="15">
      <c r="A1898" t="str">
        <f>"503069118B"</f>
        <v>503069118B</v>
      </c>
      <c r="B1898" t="str">
        <f t="shared" si="74"/>
        <v>02406911202</v>
      </c>
      <c r="C1898" t="s">
        <v>13</v>
      </c>
      <c r="D1898" t="s">
        <v>1365</v>
      </c>
      <c r="E1898" t="s">
        <v>1374</v>
      </c>
      <c r="F1898" t="s">
        <v>796</v>
      </c>
      <c r="G1898" t="str">
        <f>"02962831208"</f>
        <v>02962831208</v>
      </c>
      <c r="I1898" t="s">
        <v>1425</v>
      </c>
      <c r="L1898" t="s">
        <v>41</v>
      </c>
      <c r="M1898">
        <v>340</v>
      </c>
      <c r="AG1898">
        <v>340</v>
      </c>
      <c r="AH1898" s="1">
        <v>41341</v>
      </c>
      <c r="AI1898" s="1">
        <v>41351</v>
      </c>
      <c r="AJ1898" s="1">
        <v>41341</v>
      </c>
    </row>
    <row r="1899" spans="1:36" ht="15">
      <c r="A1899" t="str">
        <f>"5030704C42"</f>
        <v>5030704C42</v>
      </c>
      <c r="B1899" t="str">
        <f t="shared" si="74"/>
        <v>02406911202</v>
      </c>
      <c r="C1899" t="s">
        <v>13</v>
      </c>
      <c r="D1899" t="s">
        <v>1365</v>
      </c>
      <c r="E1899" t="s">
        <v>1374</v>
      </c>
      <c r="F1899" t="s">
        <v>796</v>
      </c>
      <c r="G1899" t="str">
        <f>"03281501217"</f>
        <v>03281501217</v>
      </c>
      <c r="I1899" t="s">
        <v>497</v>
      </c>
      <c r="L1899" t="s">
        <v>41</v>
      </c>
      <c r="M1899">
        <v>846</v>
      </c>
      <c r="AG1899">
        <v>846</v>
      </c>
      <c r="AH1899" s="1">
        <v>41284</v>
      </c>
      <c r="AI1899" s="1">
        <v>41348</v>
      </c>
      <c r="AJ1899" s="1">
        <v>41284</v>
      </c>
    </row>
    <row r="1900" spans="1:36" ht="15">
      <c r="A1900" t="str">
        <f>"503071662B"</f>
        <v>503071662B</v>
      </c>
      <c r="B1900" t="str">
        <f t="shared" si="74"/>
        <v>02406911202</v>
      </c>
      <c r="C1900" t="s">
        <v>13</v>
      </c>
      <c r="D1900" t="s">
        <v>1365</v>
      </c>
      <c r="E1900" t="s">
        <v>1374</v>
      </c>
      <c r="F1900" t="s">
        <v>796</v>
      </c>
      <c r="G1900" t="str">
        <f>"01481230389"</f>
        <v>01481230389</v>
      </c>
      <c r="I1900" t="s">
        <v>1426</v>
      </c>
      <c r="L1900" t="s">
        <v>41</v>
      </c>
      <c r="M1900">
        <v>7449.3</v>
      </c>
      <c r="AG1900">
        <v>7449.3</v>
      </c>
      <c r="AH1900" s="1">
        <v>41358</v>
      </c>
      <c r="AI1900" s="1">
        <v>41368</v>
      </c>
      <c r="AJ1900" s="1">
        <v>41358</v>
      </c>
    </row>
    <row r="1901" spans="1:36" ht="15">
      <c r="A1901" t="str">
        <f>"5030957D0A"</f>
        <v>5030957D0A</v>
      </c>
      <c r="B1901" t="str">
        <f t="shared" si="74"/>
        <v>02406911202</v>
      </c>
      <c r="C1901" t="s">
        <v>13</v>
      </c>
      <c r="D1901" t="s">
        <v>1365</v>
      </c>
      <c r="E1901" t="s">
        <v>1376</v>
      </c>
      <c r="F1901" t="s">
        <v>796</v>
      </c>
      <c r="G1901" t="str">
        <f>"01889461206"</f>
        <v>01889461206</v>
      </c>
      <c r="I1901" t="s">
        <v>1424</v>
      </c>
      <c r="L1901" t="s">
        <v>41</v>
      </c>
      <c r="M1901">
        <v>1144.99</v>
      </c>
      <c r="AG1901">
        <v>1144.99</v>
      </c>
      <c r="AH1901" s="1">
        <v>41297</v>
      </c>
      <c r="AI1901" s="1">
        <v>41307</v>
      </c>
      <c r="AJ1901" s="1">
        <v>41297</v>
      </c>
    </row>
    <row r="1902" spans="1:36" ht="15">
      <c r="A1902" t="str">
        <f>"5033110DC0"</f>
        <v>5033110DC0</v>
      </c>
      <c r="B1902" t="str">
        <f t="shared" si="74"/>
        <v>02406911202</v>
      </c>
      <c r="C1902" t="s">
        <v>13</v>
      </c>
      <c r="D1902" t="s">
        <v>1365</v>
      </c>
      <c r="E1902" t="s">
        <v>1390</v>
      </c>
      <c r="F1902" t="s">
        <v>796</v>
      </c>
      <c r="G1902" t="str">
        <f>"09234221001"</f>
        <v>09234221001</v>
      </c>
      <c r="I1902" t="s">
        <v>1154</v>
      </c>
      <c r="L1902" t="s">
        <v>41</v>
      </c>
      <c r="M1902">
        <v>556</v>
      </c>
      <c r="AG1902">
        <v>556</v>
      </c>
      <c r="AH1902" s="1">
        <v>41361</v>
      </c>
      <c r="AI1902" s="1">
        <v>41371</v>
      </c>
      <c r="AJ1902" s="1">
        <v>41361</v>
      </c>
    </row>
    <row r="1903" spans="1:36" ht="15">
      <c r="A1903" t="str">
        <f>"50331628AB"</f>
        <v>50331628AB</v>
      </c>
      <c r="B1903" t="str">
        <f t="shared" si="74"/>
        <v>02406911202</v>
      </c>
      <c r="C1903" t="s">
        <v>13</v>
      </c>
      <c r="D1903" t="s">
        <v>1365</v>
      </c>
      <c r="E1903" t="s">
        <v>1376</v>
      </c>
      <c r="F1903" t="s">
        <v>796</v>
      </c>
      <c r="G1903" t="str">
        <f>"01439370287"</f>
        <v>01439370287</v>
      </c>
      <c r="I1903" t="s">
        <v>149</v>
      </c>
      <c r="L1903" t="s">
        <v>41</v>
      </c>
      <c r="M1903">
        <v>10227</v>
      </c>
      <c r="AG1903">
        <v>10227</v>
      </c>
      <c r="AH1903" s="1">
        <v>41327</v>
      </c>
      <c r="AI1903" s="1">
        <v>41337</v>
      </c>
      <c r="AJ1903" s="1">
        <v>41327</v>
      </c>
    </row>
    <row r="1904" spans="1:36" ht="15">
      <c r="A1904" t="str">
        <f>"50360453CD"</f>
        <v>50360453CD</v>
      </c>
      <c r="B1904" t="str">
        <f t="shared" si="74"/>
        <v>02406911202</v>
      </c>
      <c r="C1904" t="s">
        <v>13</v>
      </c>
      <c r="D1904" t="s">
        <v>1365</v>
      </c>
      <c r="E1904" t="s">
        <v>1366</v>
      </c>
      <c r="F1904" t="s">
        <v>796</v>
      </c>
      <c r="G1904" t="str">
        <f>"01650860545"</f>
        <v>01650860545</v>
      </c>
      <c r="I1904" t="s">
        <v>1427</v>
      </c>
      <c r="L1904" t="s">
        <v>41</v>
      </c>
      <c r="M1904">
        <v>1680</v>
      </c>
      <c r="AG1904">
        <v>1680</v>
      </c>
      <c r="AH1904" s="1">
        <v>41388</v>
      </c>
      <c r="AI1904" s="1">
        <v>41398</v>
      </c>
      <c r="AJ1904" s="1">
        <v>41388</v>
      </c>
    </row>
    <row r="1905" spans="1:36" ht="15">
      <c r="A1905" t="str">
        <f>"50377090FB"</f>
        <v>50377090FB</v>
      </c>
      <c r="B1905" t="str">
        <f t="shared" si="74"/>
        <v>02406911202</v>
      </c>
      <c r="C1905" t="s">
        <v>13</v>
      </c>
      <c r="D1905" t="s">
        <v>1365</v>
      </c>
      <c r="E1905" t="s">
        <v>1374</v>
      </c>
      <c r="F1905" t="s">
        <v>796</v>
      </c>
      <c r="G1905" t="str">
        <f>"02352980151"</f>
        <v>02352980151</v>
      </c>
      <c r="I1905" t="s">
        <v>1428</v>
      </c>
      <c r="L1905" t="s">
        <v>41</v>
      </c>
      <c r="M1905">
        <v>1330</v>
      </c>
      <c r="AG1905">
        <v>1330</v>
      </c>
      <c r="AH1905" s="1">
        <v>41366</v>
      </c>
      <c r="AI1905" s="1">
        <v>41376</v>
      </c>
      <c r="AJ1905" s="1">
        <v>41366</v>
      </c>
    </row>
    <row r="1906" spans="1:36" ht="15">
      <c r="A1906" t="str">
        <f>"50394150D1"</f>
        <v>50394150D1</v>
      </c>
      <c r="B1906" t="str">
        <f t="shared" si="74"/>
        <v>02406911202</v>
      </c>
      <c r="C1906" t="s">
        <v>13</v>
      </c>
      <c r="D1906" t="s">
        <v>1365</v>
      </c>
      <c r="E1906" t="s">
        <v>1367</v>
      </c>
      <c r="F1906" t="s">
        <v>796</v>
      </c>
      <c r="G1906" t="str">
        <f>"02297850261"</f>
        <v>02297850261</v>
      </c>
      <c r="I1906" t="s">
        <v>1429</v>
      </c>
      <c r="L1906" t="s">
        <v>41</v>
      </c>
      <c r="M1906">
        <v>1432</v>
      </c>
      <c r="AG1906">
        <v>1017</v>
      </c>
      <c r="AH1906" s="1">
        <v>41345</v>
      </c>
      <c r="AI1906" s="1">
        <v>41635</v>
      </c>
      <c r="AJ1906" s="1">
        <v>41345</v>
      </c>
    </row>
    <row r="1907" spans="1:36" ht="15">
      <c r="A1907" t="str">
        <f>"5039450DAF"</f>
        <v>5039450DAF</v>
      </c>
      <c r="B1907" t="str">
        <f t="shared" si="74"/>
        <v>02406911202</v>
      </c>
      <c r="C1907" t="s">
        <v>13</v>
      </c>
      <c r="D1907" t="s">
        <v>1365</v>
      </c>
      <c r="E1907" t="s">
        <v>1367</v>
      </c>
      <c r="F1907" t="s">
        <v>796</v>
      </c>
      <c r="G1907" t="str">
        <f>"00495451205"</f>
        <v>00495451205</v>
      </c>
      <c r="I1907" t="s">
        <v>183</v>
      </c>
      <c r="L1907" t="s">
        <v>41</v>
      </c>
      <c r="M1907">
        <v>3524.01</v>
      </c>
      <c r="AG1907">
        <v>3524.01</v>
      </c>
      <c r="AH1907" s="1">
        <v>41368</v>
      </c>
      <c r="AI1907" s="1">
        <v>41628</v>
      </c>
      <c r="AJ1907" s="1">
        <v>41368</v>
      </c>
    </row>
    <row r="1908" spans="1:36" ht="15">
      <c r="A1908" t="str">
        <f>"50398428B8"</f>
        <v>50398428B8</v>
      </c>
      <c r="B1908" t="str">
        <f t="shared" si="74"/>
        <v>02406911202</v>
      </c>
      <c r="C1908" t="s">
        <v>13</v>
      </c>
      <c r="D1908" t="s">
        <v>1365</v>
      </c>
      <c r="E1908" t="s">
        <v>1367</v>
      </c>
      <c r="F1908" t="s">
        <v>796</v>
      </c>
      <c r="G1908" t="str">
        <f>"03686920962"</f>
        <v>03686920962</v>
      </c>
      <c r="I1908" t="s">
        <v>1430</v>
      </c>
      <c r="L1908" t="s">
        <v>41</v>
      </c>
      <c r="M1908">
        <v>2648</v>
      </c>
      <c r="AG1908">
        <v>2648</v>
      </c>
      <c r="AH1908" s="1">
        <v>41339</v>
      </c>
      <c r="AI1908" s="1">
        <v>41649</v>
      </c>
      <c r="AJ1908" s="1">
        <v>41339</v>
      </c>
    </row>
    <row r="1909" spans="1:36" ht="15">
      <c r="A1909" t="str">
        <f>"503984647C"</f>
        <v>503984647C</v>
      </c>
      <c r="B1909" t="str">
        <f t="shared" si="74"/>
        <v>02406911202</v>
      </c>
      <c r="C1909" t="s">
        <v>13</v>
      </c>
      <c r="D1909" t="s">
        <v>1365</v>
      </c>
      <c r="E1909" t="s">
        <v>1367</v>
      </c>
      <c r="F1909" t="s">
        <v>796</v>
      </c>
      <c r="G1909" t="str">
        <f>"01746511201"</f>
        <v>01746511201</v>
      </c>
      <c r="I1909" t="s">
        <v>1423</v>
      </c>
      <c r="L1909" t="s">
        <v>41</v>
      </c>
      <c r="M1909">
        <v>29377</v>
      </c>
      <c r="AG1909">
        <v>29376.5</v>
      </c>
      <c r="AH1909" s="1">
        <v>41277</v>
      </c>
      <c r="AI1909" s="1">
        <v>41630</v>
      </c>
      <c r="AJ1909" s="1">
        <v>41277</v>
      </c>
    </row>
    <row r="1910" spans="1:36" ht="15">
      <c r="A1910" t="str">
        <f>"50398843D8"</f>
        <v>50398843D8</v>
      </c>
      <c r="B1910" t="str">
        <f t="shared" si="74"/>
        <v>02406911202</v>
      </c>
      <c r="C1910" t="s">
        <v>13</v>
      </c>
      <c r="D1910" t="s">
        <v>1365</v>
      </c>
      <c r="E1910" t="s">
        <v>1367</v>
      </c>
      <c r="F1910" t="s">
        <v>796</v>
      </c>
      <c r="G1910" t="str">
        <f>"04156880371"</f>
        <v>04156880371</v>
      </c>
      <c r="I1910" t="s">
        <v>320</v>
      </c>
      <c r="L1910" t="s">
        <v>41</v>
      </c>
      <c r="M1910">
        <v>11300</v>
      </c>
      <c r="AG1910">
        <v>11255.52</v>
      </c>
      <c r="AH1910" s="1">
        <v>41276</v>
      </c>
      <c r="AI1910" s="1">
        <v>41613</v>
      </c>
      <c r="AJ1910" s="1">
        <v>41276</v>
      </c>
    </row>
    <row r="1911" spans="1:36" ht="15">
      <c r="A1911" t="str">
        <f>"5039898F62"</f>
        <v>5039898F62</v>
      </c>
      <c r="B1911" t="str">
        <f t="shared" si="74"/>
        <v>02406911202</v>
      </c>
      <c r="C1911" t="s">
        <v>13</v>
      </c>
      <c r="D1911" t="s">
        <v>1365</v>
      </c>
      <c r="E1911" t="s">
        <v>1367</v>
      </c>
      <c r="F1911" t="s">
        <v>796</v>
      </c>
      <c r="G1911" t="str">
        <f>"00175410265"</f>
        <v>00175410265</v>
      </c>
      <c r="I1911" t="s">
        <v>1431</v>
      </c>
      <c r="L1911" t="s">
        <v>41</v>
      </c>
      <c r="M1911">
        <v>1793.8</v>
      </c>
      <c r="AG1911">
        <v>1793.8</v>
      </c>
      <c r="AH1911" s="1">
        <v>41339</v>
      </c>
      <c r="AI1911" s="1">
        <v>41385</v>
      </c>
      <c r="AJ1911" s="1">
        <v>41339</v>
      </c>
    </row>
    <row r="1912" spans="1:36" ht="15">
      <c r="A1912" t="str">
        <f>"5039911A1E"</f>
        <v>5039911A1E</v>
      </c>
      <c r="B1912" t="str">
        <f t="shared" si="74"/>
        <v>02406911202</v>
      </c>
      <c r="C1912" t="s">
        <v>13</v>
      </c>
      <c r="D1912" t="s">
        <v>1365</v>
      </c>
      <c r="E1912" t="s">
        <v>1367</v>
      </c>
      <c r="F1912" t="s">
        <v>796</v>
      </c>
      <c r="G1912" t="str">
        <f>"02503150373"</f>
        <v>02503150373</v>
      </c>
      <c r="I1912" t="s">
        <v>1386</v>
      </c>
      <c r="L1912" t="s">
        <v>41</v>
      </c>
      <c r="M1912">
        <v>4705</v>
      </c>
      <c r="AG1912">
        <v>4705</v>
      </c>
      <c r="AH1912" s="1">
        <v>41285</v>
      </c>
      <c r="AI1912" s="1">
        <v>41592</v>
      </c>
      <c r="AJ1912" s="1">
        <v>41285</v>
      </c>
    </row>
    <row r="1913" spans="1:36" ht="15">
      <c r="A1913" t="str">
        <f>"50399255AD"</f>
        <v>50399255AD</v>
      </c>
      <c r="B1913" t="str">
        <f t="shared" si="74"/>
        <v>02406911202</v>
      </c>
      <c r="C1913" t="s">
        <v>13</v>
      </c>
      <c r="D1913" t="s">
        <v>1365</v>
      </c>
      <c r="E1913" t="s">
        <v>1367</v>
      </c>
      <c r="F1913" t="s">
        <v>796</v>
      </c>
      <c r="G1913" t="str">
        <f>"00615700374"</f>
        <v>00615700374</v>
      </c>
      <c r="I1913" t="s">
        <v>172</v>
      </c>
      <c r="L1913" t="s">
        <v>41</v>
      </c>
      <c r="M1913">
        <v>11296.34</v>
      </c>
      <c r="AG1913">
        <v>11296.34</v>
      </c>
      <c r="AH1913" s="1">
        <v>41317</v>
      </c>
      <c r="AI1913" s="1">
        <v>41642</v>
      </c>
      <c r="AJ1913" s="1">
        <v>41317</v>
      </c>
    </row>
    <row r="1914" spans="1:36" ht="15">
      <c r="A1914" t="str">
        <f>"5040067ADA"</f>
        <v>5040067ADA</v>
      </c>
      <c r="B1914" t="str">
        <f t="shared" si="74"/>
        <v>02406911202</v>
      </c>
      <c r="C1914" t="s">
        <v>13</v>
      </c>
      <c r="D1914" t="s">
        <v>1365</v>
      </c>
      <c r="E1914" t="s">
        <v>1367</v>
      </c>
      <c r="F1914" t="s">
        <v>796</v>
      </c>
      <c r="G1914" t="str">
        <f>"09933630155"</f>
        <v>09933630155</v>
      </c>
      <c r="I1914" t="s">
        <v>409</v>
      </c>
      <c r="L1914" t="s">
        <v>41</v>
      </c>
      <c r="M1914">
        <v>33400</v>
      </c>
      <c r="AG1914">
        <v>33326.12</v>
      </c>
      <c r="AH1914" s="1">
        <v>41275</v>
      </c>
      <c r="AI1914" s="1">
        <v>41285</v>
      </c>
      <c r="AJ1914" s="1">
        <v>41275</v>
      </c>
    </row>
    <row r="1915" spans="1:36" ht="15">
      <c r="A1915" t="str">
        <f>"5040086A88"</f>
        <v>5040086A88</v>
      </c>
      <c r="B1915" t="str">
        <f t="shared" si="74"/>
        <v>02406911202</v>
      </c>
      <c r="C1915" t="s">
        <v>13</v>
      </c>
      <c r="D1915" t="s">
        <v>1365</v>
      </c>
      <c r="E1915" t="s">
        <v>1367</v>
      </c>
      <c r="F1915" t="s">
        <v>796</v>
      </c>
      <c r="G1915" t="str">
        <f>"03912680372"</f>
        <v>03912680372</v>
      </c>
      <c r="I1915" t="s">
        <v>1432</v>
      </c>
      <c r="L1915" t="s">
        <v>41</v>
      </c>
      <c r="M1915">
        <v>600</v>
      </c>
      <c r="AG1915">
        <v>600</v>
      </c>
      <c r="AH1915" s="1">
        <v>41304</v>
      </c>
      <c r="AI1915" s="1">
        <v>41314</v>
      </c>
      <c r="AJ1915" s="1">
        <v>41304</v>
      </c>
    </row>
    <row r="1916" spans="1:36" ht="15">
      <c r="A1916" t="str">
        <f>"50400951F8"</f>
        <v>50400951F8</v>
      </c>
      <c r="B1916" t="str">
        <f t="shared" si="74"/>
        <v>02406911202</v>
      </c>
      <c r="C1916" t="s">
        <v>13</v>
      </c>
      <c r="D1916" t="s">
        <v>1365</v>
      </c>
      <c r="E1916" t="s">
        <v>1367</v>
      </c>
      <c r="F1916" t="s">
        <v>796</v>
      </c>
      <c r="G1916" t="str">
        <f>"00197370281"</f>
        <v>00197370281</v>
      </c>
      <c r="I1916" t="s">
        <v>1433</v>
      </c>
      <c r="L1916" t="s">
        <v>41</v>
      </c>
      <c r="M1916">
        <v>355</v>
      </c>
      <c r="AG1916">
        <v>355</v>
      </c>
      <c r="AH1916" s="1">
        <v>41316</v>
      </c>
      <c r="AI1916" s="1">
        <v>41335</v>
      </c>
      <c r="AJ1916" s="1">
        <v>41316</v>
      </c>
    </row>
    <row r="1917" spans="1:36" ht="15">
      <c r="A1917" t="str">
        <f>"5040125AB7"</f>
        <v>5040125AB7</v>
      </c>
      <c r="B1917" t="str">
        <f t="shared" si="74"/>
        <v>02406911202</v>
      </c>
      <c r="C1917" t="s">
        <v>13</v>
      </c>
      <c r="D1917" t="s">
        <v>1365</v>
      </c>
      <c r="E1917" t="s">
        <v>1367</v>
      </c>
      <c r="F1917" t="s">
        <v>796</v>
      </c>
      <c r="G1917" t="str">
        <f>"00673881207"</f>
        <v>00673881207</v>
      </c>
      <c r="I1917" t="s">
        <v>1434</v>
      </c>
      <c r="L1917" t="s">
        <v>41</v>
      </c>
      <c r="M1917">
        <v>16221.8</v>
      </c>
      <c r="AG1917">
        <v>15901.79</v>
      </c>
      <c r="AH1917" s="1">
        <v>41284</v>
      </c>
      <c r="AI1917" s="1">
        <v>41649</v>
      </c>
      <c r="AJ1917" s="1">
        <v>41284</v>
      </c>
    </row>
    <row r="1918" spans="1:36" ht="15">
      <c r="A1918" t="str">
        <f>"5040241A71"</f>
        <v>5040241A71</v>
      </c>
      <c r="B1918" t="str">
        <f t="shared" si="74"/>
        <v>02406911202</v>
      </c>
      <c r="C1918" t="s">
        <v>13</v>
      </c>
      <c r="D1918" t="s">
        <v>1365</v>
      </c>
      <c r="E1918" t="s">
        <v>1367</v>
      </c>
      <c r="F1918" t="s">
        <v>796</v>
      </c>
      <c r="G1918" t="str">
        <f>"01122350380"</f>
        <v>01122350380</v>
      </c>
      <c r="I1918" t="s">
        <v>163</v>
      </c>
      <c r="L1918" t="s">
        <v>41</v>
      </c>
      <c r="M1918">
        <v>2092.42</v>
      </c>
      <c r="AG1918">
        <v>2092.42</v>
      </c>
      <c r="AH1918" s="1">
        <v>41502</v>
      </c>
      <c r="AI1918" s="1">
        <v>41512</v>
      </c>
      <c r="AJ1918" s="1">
        <v>41502</v>
      </c>
    </row>
    <row r="1919" spans="1:36" ht="15">
      <c r="A1919" t="str">
        <f>"5040260A1F"</f>
        <v>5040260A1F</v>
      </c>
      <c r="B1919" t="str">
        <f t="shared" si="74"/>
        <v>02406911202</v>
      </c>
      <c r="C1919" t="s">
        <v>13</v>
      </c>
      <c r="D1919" t="s">
        <v>1365</v>
      </c>
      <c r="E1919" t="s">
        <v>1367</v>
      </c>
      <c r="F1919" t="s">
        <v>796</v>
      </c>
      <c r="G1919" t="str">
        <f>"01681100150"</f>
        <v>01681100150</v>
      </c>
      <c r="I1919" t="s">
        <v>155</v>
      </c>
      <c r="L1919" t="s">
        <v>41</v>
      </c>
      <c r="M1919">
        <v>2127</v>
      </c>
      <c r="AG1919">
        <v>2127</v>
      </c>
      <c r="AH1919" s="1">
        <v>41312</v>
      </c>
      <c r="AI1919" s="1">
        <v>41420</v>
      </c>
      <c r="AJ1919" s="1">
        <v>41312</v>
      </c>
    </row>
    <row r="1920" spans="1:36" ht="15">
      <c r="A1920" t="str">
        <f>"50402967D5"</f>
        <v>50402967D5</v>
      </c>
      <c r="B1920" t="str">
        <f t="shared" si="74"/>
        <v>02406911202</v>
      </c>
      <c r="C1920" t="s">
        <v>13</v>
      </c>
      <c r="D1920" t="s">
        <v>1365</v>
      </c>
      <c r="E1920" t="s">
        <v>1367</v>
      </c>
      <c r="F1920" t="s">
        <v>796</v>
      </c>
      <c r="G1920" t="str">
        <f>"00721920155"</f>
        <v>00721920155</v>
      </c>
      <c r="I1920" t="s">
        <v>434</v>
      </c>
      <c r="L1920" t="s">
        <v>41</v>
      </c>
      <c r="M1920">
        <v>14718.52</v>
      </c>
      <c r="AG1920">
        <v>14718.52</v>
      </c>
      <c r="AH1920" s="1">
        <v>41281</v>
      </c>
      <c r="AI1920" s="1">
        <v>41565</v>
      </c>
      <c r="AJ1920" s="1">
        <v>41281</v>
      </c>
    </row>
    <row r="1921" spans="1:36" ht="15">
      <c r="A1921" t="str">
        <f>"50403070EB"</f>
        <v>50403070EB</v>
      </c>
      <c r="B1921" t="str">
        <f t="shared" si="74"/>
        <v>02406911202</v>
      </c>
      <c r="C1921" t="s">
        <v>13</v>
      </c>
      <c r="D1921" t="s">
        <v>1365</v>
      </c>
      <c r="E1921" t="s">
        <v>1367</v>
      </c>
      <c r="F1921" t="s">
        <v>796</v>
      </c>
      <c r="G1921" t="str">
        <f>"09120130159"</f>
        <v>09120130159</v>
      </c>
      <c r="I1921" t="s">
        <v>1435</v>
      </c>
      <c r="L1921" t="s">
        <v>41</v>
      </c>
      <c r="M1921">
        <v>1625</v>
      </c>
      <c r="AG1921">
        <v>1625</v>
      </c>
      <c r="AH1921" s="1">
        <v>41281</v>
      </c>
      <c r="AI1921" s="1">
        <v>41545</v>
      </c>
      <c r="AJ1921" s="1">
        <v>41281</v>
      </c>
    </row>
    <row r="1922" spans="1:36" ht="15">
      <c r="A1922" t="str">
        <f>"5040319ACF"</f>
        <v>5040319ACF</v>
      </c>
      <c r="B1922" t="str">
        <f aca="true" t="shared" si="75" ref="B1922:B1985">"02406911202"</f>
        <v>02406911202</v>
      </c>
      <c r="C1922" t="s">
        <v>13</v>
      </c>
      <c r="D1922" t="s">
        <v>1365</v>
      </c>
      <c r="E1922" t="s">
        <v>1368</v>
      </c>
      <c r="F1922" t="s">
        <v>796</v>
      </c>
      <c r="G1922" t="str">
        <f>"04923960159"</f>
        <v>04923960159</v>
      </c>
      <c r="I1922" t="s">
        <v>334</v>
      </c>
      <c r="L1922" t="s">
        <v>41</v>
      </c>
      <c r="M1922">
        <v>9700</v>
      </c>
      <c r="AG1922">
        <v>9700</v>
      </c>
      <c r="AH1922" s="1">
        <v>41367</v>
      </c>
      <c r="AI1922" s="1">
        <v>41377</v>
      </c>
      <c r="AJ1922" s="1">
        <v>41367</v>
      </c>
    </row>
    <row r="1923" spans="1:36" ht="15">
      <c r="A1923" t="str">
        <f>"5040320BA2"</f>
        <v>5040320BA2</v>
      </c>
      <c r="B1923" t="str">
        <f t="shared" si="75"/>
        <v>02406911202</v>
      </c>
      <c r="C1923" t="s">
        <v>13</v>
      </c>
      <c r="D1923" t="s">
        <v>1365</v>
      </c>
      <c r="E1923" t="s">
        <v>1367</v>
      </c>
      <c r="F1923" t="s">
        <v>796</v>
      </c>
      <c r="G1923" t="str">
        <f>"10777700153"</f>
        <v>10777700153</v>
      </c>
      <c r="I1923" t="s">
        <v>175</v>
      </c>
      <c r="L1923" t="s">
        <v>41</v>
      </c>
      <c r="M1923">
        <v>7639.87</v>
      </c>
      <c r="AG1923">
        <v>7639.87</v>
      </c>
      <c r="AH1923" s="1">
        <v>41282</v>
      </c>
      <c r="AI1923" s="1">
        <v>41599</v>
      </c>
      <c r="AJ1923" s="1">
        <v>41282</v>
      </c>
    </row>
    <row r="1924" spans="1:36" ht="15">
      <c r="A1924" t="str">
        <f>"50403482C0"</f>
        <v>50403482C0</v>
      </c>
      <c r="B1924" t="str">
        <f t="shared" si="75"/>
        <v>02406911202</v>
      </c>
      <c r="C1924" t="s">
        <v>13</v>
      </c>
      <c r="D1924" t="s">
        <v>1365</v>
      </c>
      <c r="E1924" t="s">
        <v>1367</v>
      </c>
      <c r="F1924" t="s">
        <v>796</v>
      </c>
      <c r="G1924" t="str">
        <f>"01922280548"</f>
        <v>01922280548</v>
      </c>
      <c r="I1924" t="s">
        <v>1436</v>
      </c>
      <c r="L1924" t="s">
        <v>41</v>
      </c>
      <c r="M1924">
        <v>9131</v>
      </c>
      <c r="AG1924">
        <v>9130.6</v>
      </c>
      <c r="AH1924" s="1">
        <v>41276</v>
      </c>
      <c r="AI1924" s="1">
        <v>41573</v>
      </c>
      <c r="AJ1924" s="1">
        <v>41276</v>
      </c>
    </row>
    <row r="1925" spans="1:36" ht="15">
      <c r="A1925" t="str">
        <f>"50404116BC"</f>
        <v>50404116BC</v>
      </c>
      <c r="B1925" t="str">
        <f t="shared" si="75"/>
        <v>02406911202</v>
      </c>
      <c r="C1925" t="s">
        <v>13</v>
      </c>
      <c r="D1925" t="s">
        <v>1365</v>
      </c>
      <c r="E1925" t="s">
        <v>1367</v>
      </c>
      <c r="F1925" t="s">
        <v>796</v>
      </c>
      <c r="G1925" t="str">
        <f>"05424020963"</f>
        <v>05424020963</v>
      </c>
      <c r="I1925" t="s">
        <v>1437</v>
      </c>
      <c r="L1925" t="s">
        <v>41</v>
      </c>
      <c r="M1925">
        <v>20000</v>
      </c>
      <c r="AG1925">
        <v>6174.63</v>
      </c>
      <c r="AH1925" s="1">
        <v>41396</v>
      </c>
      <c r="AI1925" s="1">
        <v>41406</v>
      </c>
      <c r="AJ1925" s="1">
        <v>41396</v>
      </c>
    </row>
    <row r="1926" spans="1:36" ht="15">
      <c r="A1926" t="str">
        <f>"5040512A14"</f>
        <v>5040512A14</v>
      </c>
      <c r="B1926" t="str">
        <f t="shared" si="75"/>
        <v>02406911202</v>
      </c>
      <c r="C1926" t="s">
        <v>13</v>
      </c>
      <c r="D1926" t="s">
        <v>1365</v>
      </c>
      <c r="E1926" t="s">
        <v>1367</v>
      </c>
      <c r="F1926" t="s">
        <v>796</v>
      </c>
      <c r="G1926" t="str">
        <f>"02084790340"</f>
        <v>02084790340</v>
      </c>
      <c r="I1926" t="s">
        <v>1370</v>
      </c>
      <c r="L1926" t="s">
        <v>41</v>
      </c>
      <c r="M1926">
        <v>805</v>
      </c>
      <c r="AG1926">
        <v>805</v>
      </c>
      <c r="AH1926" s="1">
        <v>41367</v>
      </c>
      <c r="AI1926" s="1">
        <v>41377</v>
      </c>
      <c r="AJ1926" s="1">
        <v>41367</v>
      </c>
    </row>
    <row r="1927" spans="1:36" ht="15">
      <c r="A1927" t="str">
        <f>"50405823DA"</f>
        <v>50405823DA</v>
      </c>
      <c r="B1927" t="str">
        <f t="shared" si="75"/>
        <v>02406911202</v>
      </c>
      <c r="C1927" t="s">
        <v>13</v>
      </c>
      <c r="D1927" t="s">
        <v>1365</v>
      </c>
      <c r="E1927" t="s">
        <v>1367</v>
      </c>
      <c r="F1927" t="s">
        <v>796</v>
      </c>
      <c r="G1927" t="str">
        <f>"00707821203"</f>
        <v>00707821203</v>
      </c>
      <c r="I1927" t="s">
        <v>1103</v>
      </c>
      <c r="L1927" t="s">
        <v>41</v>
      </c>
      <c r="M1927">
        <v>535</v>
      </c>
      <c r="AG1927">
        <v>535</v>
      </c>
      <c r="AH1927" s="1">
        <v>41330</v>
      </c>
      <c r="AI1927" s="1">
        <v>41540</v>
      </c>
      <c r="AJ1927" s="1">
        <v>41330</v>
      </c>
    </row>
    <row r="1928" spans="1:36" ht="15">
      <c r="A1928" t="str">
        <f>"50406224DC"</f>
        <v>50406224DC</v>
      </c>
      <c r="B1928" t="str">
        <f t="shared" si="75"/>
        <v>02406911202</v>
      </c>
      <c r="C1928" t="s">
        <v>13</v>
      </c>
      <c r="D1928" t="s">
        <v>1365</v>
      </c>
      <c r="E1928" t="s">
        <v>1367</v>
      </c>
      <c r="F1928" t="s">
        <v>796</v>
      </c>
      <c r="G1928" t="str">
        <f>"08086280156"</f>
        <v>08086280156</v>
      </c>
      <c r="I1928" t="s">
        <v>186</v>
      </c>
      <c r="L1928" t="s">
        <v>41</v>
      </c>
      <c r="M1928">
        <v>10272</v>
      </c>
      <c r="AG1928">
        <v>10272</v>
      </c>
      <c r="AH1928" s="1">
        <v>41295</v>
      </c>
      <c r="AI1928" s="1">
        <v>41629</v>
      </c>
      <c r="AJ1928" s="1">
        <v>41295</v>
      </c>
    </row>
    <row r="1929" spans="1:36" ht="15">
      <c r="A1929" t="str">
        <f>"5040668AD0"</f>
        <v>5040668AD0</v>
      </c>
      <c r="B1929" t="str">
        <f t="shared" si="75"/>
        <v>02406911202</v>
      </c>
      <c r="C1929" t="s">
        <v>13</v>
      </c>
      <c r="D1929" t="s">
        <v>1365</v>
      </c>
      <c r="E1929" t="s">
        <v>1367</v>
      </c>
      <c r="F1929" t="s">
        <v>796</v>
      </c>
      <c r="G1929" t="str">
        <f>"01572640181"</f>
        <v>01572640181</v>
      </c>
      <c r="I1929" t="s">
        <v>1438</v>
      </c>
      <c r="L1929" t="s">
        <v>41</v>
      </c>
      <c r="M1929">
        <v>5432.19</v>
      </c>
      <c r="AG1929">
        <v>5432.19</v>
      </c>
      <c r="AH1929" s="1">
        <v>41331</v>
      </c>
      <c r="AI1929" s="1">
        <v>41494</v>
      </c>
      <c r="AJ1929" s="1">
        <v>41331</v>
      </c>
    </row>
    <row r="1930" spans="1:36" ht="15">
      <c r="A1930" t="str">
        <f>"5040863BBB"</f>
        <v>5040863BBB</v>
      </c>
      <c r="B1930" t="str">
        <f t="shared" si="75"/>
        <v>02406911202</v>
      </c>
      <c r="C1930" t="s">
        <v>13</v>
      </c>
      <c r="D1930" t="s">
        <v>1365</v>
      </c>
      <c r="E1930" t="s">
        <v>1367</v>
      </c>
      <c r="F1930" t="s">
        <v>796</v>
      </c>
      <c r="G1930" t="str">
        <f>"00897041000"</f>
        <v>00897041000</v>
      </c>
      <c r="I1930" t="s">
        <v>1439</v>
      </c>
      <c r="L1930" t="s">
        <v>41</v>
      </c>
      <c r="M1930">
        <v>925</v>
      </c>
      <c r="AG1930">
        <v>925</v>
      </c>
      <c r="AH1930" s="1">
        <v>41298</v>
      </c>
      <c r="AI1930" s="1">
        <v>41308</v>
      </c>
      <c r="AJ1930" s="1">
        <v>41298</v>
      </c>
    </row>
    <row r="1931" spans="1:36" ht="15">
      <c r="A1931" t="str">
        <f>"5040887F88"</f>
        <v>5040887F88</v>
      </c>
      <c r="B1931" t="str">
        <f t="shared" si="75"/>
        <v>02406911202</v>
      </c>
      <c r="C1931" t="s">
        <v>13</v>
      </c>
      <c r="D1931" t="s">
        <v>1365</v>
      </c>
      <c r="E1931" t="s">
        <v>1367</v>
      </c>
      <c r="F1931" t="s">
        <v>796</v>
      </c>
      <c r="G1931" t="str">
        <f>"02481080964"</f>
        <v>02481080964</v>
      </c>
      <c r="I1931" t="s">
        <v>92</v>
      </c>
      <c r="L1931" t="s">
        <v>41</v>
      </c>
      <c r="M1931">
        <v>10118</v>
      </c>
      <c r="AG1931">
        <v>10118</v>
      </c>
      <c r="AH1931" s="1">
        <v>41297</v>
      </c>
      <c r="AI1931" s="1">
        <v>41642</v>
      </c>
      <c r="AJ1931" s="1">
        <v>41297</v>
      </c>
    </row>
    <row r="1932" spans="1:36" ht="15">
      <c r="A1932" t="str">
        <f>"50408966F8"</f>
        <v>50408966F8</v>
      </c>
      <c r="B1932" t="str">
        <f t="shared" si="75"/>
        <v>02406911202</v>
      </c>
      <c r="C1932" t="s">
        <v>13</v>
      </c>
      <c r="D1932" t="s">
        <v>1365</v>
      </c>
      <c r="E1932" t="s">
        <v>1367</v>
      </c>
      <c r="F1932" t="s">
        <v>796</v>
      </c>
      <c r="G1932" t="str">
        <f>"11861240155"</f>
        <v>11861240155</v>
      </c>
      <c r="I1932" t="s">
        <v>1398</v>
      </c>
      <c r="L1932" t="s">
        <v>41</v>
      </c>
      <c r="M1932">
        <v>490</v>
      </c>
      <c r="AG1932">
        <v>490</v>
      </c>
      <c r="AH1932" s="1">
        <v>41344</v>
      </c>
      <c r="AI1932" s="1">
        <v>41407</v>
      </c>
      <c r="AJ1932" s="1">
        <v>41344</v>
      </c>
    </row>
    <row r="1933" spans="1:36" ht="15">
      <c r="A1933" t="str">
        <f>"50409199F2"</f>
        <v>50409199F2</v>
      </c>
      <c r="B1933" t="str">
        <f t="shared" si="75"/>
        <v>02406911202</v>
      </c>
      <c r="C1933" t="s">
        <v>13</v>
      </c>
      <c r="D1933" t="s">
        <v>1365</v>
      </c>
      <c r="E1933" t="s">
        <v>1367</v>
      </c>
      <c r="F1933" t="s">
        <v>796</v>
      </c>
      <c r="G1933" t="str">
        <f>"10782860158"</f>
        <v>10782860158</v>
      </c>
      <c r="I1933" t="s">
        <v>1440</v>
      </c>
      <c r="L1933" t="s">
        <v>41</v>
      </c>
      <c r="M1933">
        <v>6059.5</v>
      </c>
      <c r="AG1933">
        <v>6059.5</v>
      </c>
      <c r="AH1933" s="1">
        <v>41276</v>
      </c>
      <c r="AI1933" s="1">
        <v>41579</v>
      </c>
      <c r="AJ1933" s="1">
        <v>41276</v>
      </c>
    </row>
    <row r="1934" spans="1:36" ht="15">
      <c r="A1934" t="str">
        <f>"5040999BF6"</f>
        <v>5040999BF6</v>
      </c>
      <c r="B1934" t="str">
        <f t="shared" si="75"/>
        <v>02406911202</v>
      </c>
      <c r="C1934" t="s">
        <v>13</v>
      </c>
      <c r="D1934" t="s">
        <v>1365</v>
      </c>
      <c r="E1934" t="s">
        <v>1367</v>
      </c>
      <c r="F1934" t="s">
        <v>796</v>
      </c>
      <c r="G1934" t="str">
        <f>"01889461206"</f>
        <v>01889461206</v>
      </c>
      <c r="I1934" t="s">
        <v>1424</v>
      </c>
      <c r="L1934" t="s">
        <v>41</v>
      </c>
      <c r="M1934">
        <v>20602</v>
      </c>
      <c r="AG1934">
        <v>20601.87</v>
      </c>
      <c r="AH1934" s="1">
        <v>41283</v>
      </c>
      <c r="AI1934" s="1">
        <v>41645</v>
      </c>
      <c r="AJ1934" s="1">
        <v>41283</v>
      </c>
    </row>
    <row r="1935" spans="1:36" ht="15">
      <c r="A1935" t="str">
        <f>"5041039CF8"</f>
        <v>5041039CF8</v>
      </c>
      <c r="B1935" t="str">
        <f t="shared" si="75"/>
        <v>02406911202</v>
      </c>
      <c r="C1935" t="s">
        <v>13</v>
      </c>
      <c r="D1935" t="s">
        <v>1365</v>
      </c>
      <c r="E1935" t="s">
        <v>1367</v>
      </c>
      <c r="F1935" t="s">
        <v>796</v>
      </c>
      <c r="G1935" t="str">
        <f>"00494591209"</f>
        <v>00494591209</v>
      </c>
      <c r="I1935" t="s">
        <v>1441</v>
      </c>
      <c r="L1935" t="s">
        <v>41</v>
      </c>
      <c r="M1935">
        <v>796</v>
      </c>
      <c r="AG1935">
        <v>796</v>
      </c>
      <c r="AH1935" s="1">
        <v>41312</v>
      </c>
      <c r="AI1935" s="1">
        <v>41322</v>
      </c>
      <c r="AJ1935" s="1">
        <v>41312</v>
      </c>
    </row>
    <row r="1936" spans="1:36" ht="15">
      <c r="A1936" t="str">
        <f>"504116334F"</f>
        <v>504116334F</v>
      </c>
      <c r="B1936" t="str">
        <f t="shared" si="75"/>
        <v>02406911202</v>
      </c>
      <c r="C1936" t="s">
        <v>13</v>
      </c>
      <c r="D1936" t="s">
        <v>1365</v>
      </c>
      <c r="E1936" t="s">
        <v>1367</v>
      </c>
      <c r="F1936" t="s">
        <v>796</v>
      </c>
      <c r="G1936" t="str">
        <f>"04749361004"</f>
        <v>04749361004</v>
      </c>
      <c r="I1936" t="s">
        <v>1442</v>
      </c>
      <c r="L1936" t="s">
        <v>41</v>
      </c>
      <c r="M1936">
        <v>512.11</v>
      </c>
      <c r="AG1936">
        <v>512.11</v>
      </c>
      <c r="AH1936" s="1">
        <v>41369</v>
      </c>
      <c r="AI1936" s="1">
        <v>41623</v>
      </c>
      <c r="AJ1936" s="1">
        <v>41369</v>
      </c>
    </row>
    <row r="1937" spans="1:36" ht="15">
      <c r="A1937" t="str">
        <f>"5045011AC5"</f>
        <v>5045011AC5</v>
      </c>
      <c r="B1937" t="str">
        <f t="shared" si="75"/>
        <v>02406911202</v>
      </c>
      <c r="C1937" t="s">
        <v>13</v>
      </c>
      <c r="D1937" t="s">
        <v>1365</v>
      </c>
      <c r="E1937" t="s">
        <v>1367</v>
      </c>
      <c r="F1937" t="s">
        <v>796</v>
      </c>
      <c r="G1937" t="str">
        <f>"01970571202"</f>
        <v>01970571202</v>
      </c>
      <c r="I1937" t="s">
        <v>1443</v>
      </c>
      <c r="L1937" t="s">
        <v>41</v>
      </c>
      <c r="M1937">
        <v>6650</v>
      </c>
      <c r="AG1937">
        <v>6604.09</v>
      </c>
      <c r="AH1937" s="1">
        <v>41319</v>
      </c>
      <c r="AI1937" s="1">
        <v>41641</v>
      </c>
      <c r="AJ1937" s="1">
        <v>41319</v>
      </c>
    </row>
    <row r="1938" spans="1:36" ht="15">
      <c r="A1938" t="str">
        <f>"50450223DB"</f>
        <v>50450223DB</v>
      </c>
      <c r="B1938" t="str">
        <f t="shared" si="75"/>
        <v>02406911202</v>
      </c>
      <c r="C1938" t="s">
        <v>13</v>
      </c>
      <c r="D1938" t="s">
        <v>1365</v>
      </c>
      <c r="E1938" t="s">
        <v>1367</v>
      </c>
      <c r="F1938" t="s">
        <v>796</v>
      </c>
      <c r="G1938" t="str">
        <f>"04647720483"</f>
        <v>04647720483</v>
      </c>
      <c r="I1938" t="s">
        <v>290</v>
      </c>
      <c r="L1938" t="s">
        <v>41</v>
      </c>
      <c r="M1938">
        <v>7946.19</v>
      </c>
      <c r="AG1938">
        <v>7946.19</v>
      </c>
      <c r="AH1938" s="1">
        <v>41276</v>
      </c>
      <c r="AI1938" s="1">
        <v>41629</v>
      </c>
      <c r="AJ1938" s="1">
        <v>41276</v>
      </c>
    </row>
    <row r="1939" spans="1:36" ht="15">
      <c r="A1939" t="str">
        <f>"5045030A73"</f>
        <v>5045030A73</v>
      </c>
      <c r="B1939" t="str">
        <f t="shared" si="75"/>
        <v>02406911202</v>
      </c>
      <c r="C1939" t="s">
        <v>13</v>
      </c>
      <c r="D1939" t="s">
        <v>1365</v>
      </c>
      <c r="E1939" t="s">
        <v>1367</v>
      </c>
      <c r="F1939" t="s">
        <v>796</v>
      </c>
      <c r="G1939" t="str">
        <f>"01151500384"</f>
        <v>01151500384</v>
      </c>
      <c r="I1939" t="s">
        <v>1405</v>
      </c>
      <c r="L1939" t="s">
        <v>41</v>
      </c>
      <c r="M1939">
        <v>22187</v>
      </c>
      <c r="AG1939">
        <v>22186.75</v>
      </c>
      <c r="AH1939" s="1">
        <v>41284</v>
      </c>
      <c r="AI1939" s="1">
        <v>41645</v>
      </c>
      <c r="AJ1939" s="1">
        <v>41284</v>
      </c>
    </row>
    <row r="1940" spans="1:36" ht="15">
      <c r="A1940" t="str">
        <f>"50450635B0"</f>
        <v>50450635B0</v>
      </c>
      <c r="B1940" t="str">
        <f t="shared" si="75"/>
        <v>02406911202</v>
      </c>
      <c r="C1940" t="s">
        <v>13</v>
      </c>
      <c r="D1940" t="s">
        <v>1365</v>
      </c>
      <c r="E1940" t="s">
        <v>1367</v>
      </c>
      <c r="F1940" t="s">
        <v>796</v>
      </c>
      <c r="G1940" t="str">
        <f>"01177620299"</f>
        <v>01177620299</v>
      </c>
      <c r="I1940" t="s">
        <v>1417</v>
      </c>
      <c r="L1940" t="s">
        <v>41</v>
      </c>
      <c r="M1940">
        <v>685</v>
      </c>
      <c r="AG1940">
        <v>685</v>
      </c>
      <c r="AH1940" s="1">
        <v>41302</v>
      </c>
      <c r="AI1940" s="1">
        <v>41312</v>
      </c>
      <c r="AJ1940" s="1">
        <v>41302</v>
      </c>
    </row>
    <row r="1941" spans="1:36" ht="15">
      <c r="A1941" t="str">
        <f>"5045075F94"</f>
        <v>5045075F94</v>
      </c>
      <c r="B1941" t="str">
        <f t="shared" si="75"/>
        <v>02406911202</v>
      </c>
      <c r="C1941" t="s">
        <v>13</v>
      </c>
      <c r="D1941" t="s">
        <v>1365</v>
      </c>
      <c r="E1941" t="s">
        <v>1367</v>
      </c>
      <c r="F1941" t="s">
        <v>796</v>
      </c>
      <c r="G1941" t="str">
        <f>"00660040528"</f>
        <v>00660040528</v>
      </c>
      <c r="I1941" t="s">
        <v>664</v>
      </c>
      <c r="L1941" t="s">
        <v>41</v>
      </c>
      <c r="M1941">
        <v>3979.97</v>
      </c>
      <c r="AG1941">
        <v>3979.97</v>
      </c>
      <c r="AH1941" s="1">
        <v>41360</v>
      </c>
      <c r="AI1941" s="1">
        <v>41579</v>
      </c>
      <c r="AJ1941" s="1">
        <v>41360</v>
      </c>
    </row>
    <row r="1942" spans="1:36" ht="15">
      <c r="A1942" t="str">
        <f>"504508797D"</f>
        <v>504508797D</v>
      </c>
      <c r="B1942" t="str">
        <f t="shared" si="75"/>
        <v>02406911202</v>
      </c>
      <c r="C1942" t="s">
        <v>13</v>
      </c>
      <c r="D1942" t="s">
        <v>1365</v>
      </c>
      <c r="E1942" t="s">
        <v>1367</v>
      </c>
      <c r="F1942" t="s">
        <v>796</v>
      </c>
      <c r="G1942" t="str">
        <f>"02148950344"</f>
        <v>02148950344</v>
      </c>
      <c r="I1942" t="s">
        <v>1444</v>
      </c>
      <c r="L1942" t="s">
        <v>41</v>
      </c>
      <c r="M1942">
        <v>1629</v>
      </c>
      <c r="AG1942">
        <v>1629</v>
      </c>
      <c r="AH1942" s="1">
        <v>41292</v>
      </c>
      <c r="AI1942" s="1">
        <v>41622</v>
      </c>
      <c r="AJ1942" s="1">
        <v>41292</v>
      </c>
    </row>
    <row r="1943" spans="1:36" ht="15">
      <c r="A1943" t="str">
        <f>"5045149CA6"</f>
        <v>5045149CA6</v>
      </c>
      <c r="B1943" t="str">
        <f t="shared" si="75"/>
        <v>02406911202</v>
      </c>
      <c r="C1943" t="s">
        <v>13</v>
      </c>
      <c r="D1943" t="s">
        <v>1365</v>
      </c>
      <c r="E1943" t="s">
        <v>1367</v>
      </c>
      <c r="F1943" t="s">
        <v>796</v>
      </c>
      <c r="G1943" t="str">
        <f>"03831290287"</f>
        <v>03831290287</v>
      </c>
      <c r="I1943" t="s">
        <v>206</v>
      </c>
      <c r="L1943" t="s">
        <v>41</v>
      </c>
      <c r="M1943">
        <v>11307.09</v>
      </c>
      <c r="AG1943">
        <v>11307.09</v>
      </c>
      <c r="AH1943" s="1">
        <v>41276</v>
      </c>
      <c r="AI1943" s="1">
        <v>41628</v>
      </c>
      <c r="AJ1943" s="1">
        <v>41276</v>
      </c>
    </row>
    <row r="1944" spans="1:36" ht="15">
      <c r="A1944" t="str">
        <f>"5045166AAE"</f>
        <v>5045166AAE</v>
      </c>
      <c r="B1944" t="str">
        <f t="shared" si="75"/>
        <v>02406911202</v>
      </c>
      <c r="C1944" t="s">
        <v>13</v>
      </c>
      <c r="D1944" t="s">
        <v>1365</v>
      </c>
      <c r="E1944" t="s">
        <v>1367</v>
      </c>
      <c r="F1944" t="s">
        <v>796</v>
      </c>
      <c r="G1944" t="str">
        <f>"00688220961"</f>
        <v>00688220961</v>
      </c>
      <c r="I1944" t="s">
        <v>1056</v>
      </c>
      <c r="L1944" t="s">
        <v>41</v>
      </c>
      <c r="M1944">
        <v>3047</v>
      </c>
      <c r="AG1944">
        <v>3047</v>
      </c>
      <c r="AH1944" s="1">
        <v>41277</v>
      </c>
      <c r="AI1944" s="1">
        <v>41287</v>
      </c>
      <c r="AJ1944" s="1">
        <v>41277</v>
      </c>
    </row>
    <row r="1945" spans="1:36" ht="15">
      <c r="A1945" t="str">
        <f>"5045190E7B"</f>
        <v>5045190E7B</v>
      </c>
      <c r="B1945" t="str">
        <f t="shared" si="75"/>
        <v>02406911202</v>
      </c>
      <c r="C1945" t="s">
        <v>13</v>
      </c>
      <c r="D1945" t="s">
        <v>1365</v>
      </c>
      <c r="E1945" t="s">
        <v>1367</v>
      </c>
      <c r="F1945" t="s">
        <v>796</v>
      </c>
      <c r="G1945" t="str">
        <f>"02504331204"</f>
        <v>02504331204</v>
      </c>
      <c r="I1945" t="s">
        <v>1445</v>
      </c>
      <c r="L1945" t="s">
        <v>41</v>
      </c>
      <c r="M1945">
        <v>6139.11</v>
      </c>
      <c r="AG1945">
        <v>6139.11</v>
      </c>
      <c r="AH1945" s="1">
        <v>41361</v>
      </c>
      <c r="AI1945" s="1">
        <v>41649</v>
      </c>
      <c r="AJ1945" s="1">
        <v>41361</v>
      </c>
    </row>
    <row r="1946" spans="1:36" ht="15">
      <c r="A1946" t="str">
        <f>"50521920BB"</f>
        <v>50521920BB</v>
      </c>
      <c r="B1946" t="str">
        <f t="shared" si="75"/>
        <v>02406911202</v>
      </c>
      <c r="C1946" t="s">
        <v>13</v>
      </c>
      <c r="D1946" t="s">
        <v>1365</v>
      </c>
      <c r="E1946" t="s">
        <v>1367</v>
      </c>
      <c r="F1946" t="s">
        <v>796</v>
      </c>
      <c r="G1946" t="str">
        <f>"03524050238"</f>
        <v>03524050238</v>
      </c>
      <c r="I1946" t="s">
        <v>638</v>
      </c>
      <c r="L1946" t="s">
        <v>41</v>
      </c>
      <c r="M1946">
        <v>429.3</v>
      </c>
      <c r="AG1946">
        <v>369.3</v>
      </c>
      <c r="AH1946" s="1">
        <v>41276</v>
      </c>
      <c r="AI1946" s="1">
        <v>41286</v>
      </c>
      <c r="AJ1946" s="1">
        <v>41276</v>
      </c>
    </row>
    <row r="1947" spans="1:36" ht="15">
      <c r="A1947" t="str">
        <f>"5052226CC6"</f>
        <v>5052226CC6</v>
      </c>
      <c r="B1947" t="str">
        <f t="shared" si="75"/>
        <v>02406911202</v>
      </c>
      <c r="C1947" t="s">
        <v>13</v>
      </c>
      <c r="D1947" t="s">
        <v>1365</v>
      </c>
      <c r="E1947" t="s">
        <v>1367</v>
      </c>
      <c r="F1947" t="s">
        <v>796</v>
      </c>
      <c r="G1947" t="str">
        <f>"02559500232"</f>
        <v>02559500232</v>
      </c>
      <c r="I1947" t="s">
        <v>1446</v>
      </c>
      <c r="L1947" t="s">
        <v>41</v>
      </c>
      <c r="M1947">
        <v>627</v>
      </c>
      <c r="AG1947">
        <v>627</v>
      </c>
      <c r="AH1947" s="1">
        <v>41348</v>
      </c>
      <c r="AI1947" s="1">
        <v>41358</v>
      </c>
      <c r="AJ1947" s="1">
        <v>41348</v>
      </c>
    </row>
    <row r="1948" spans="1:36" ht="15">
      <c r="A1948" t="str">
        <f>"50523188B3"</f>
        <v>50523188B3</v>
      </c>
      <c r="B1948" t="str">
        <f t="shared" si="75"/>
        <v>02406911202</v>
      </c>
      <c r="C1948" t="s">
        <v>13</v>
      </c>
      <c r="D1948" t="s">
        <v>1365</v>
      </c>
      <c r="E1948" t="s">
        <v>1367</v>
      </c>
      <c r="F1948" t="s">
        <v>796</v>
      </c>
      <c r="G1948" t="str">
        <f>"01302600380"</f>
        <v>01302600380</v>
      </c>
      <c r="I1948" t="s">
        <v>958</v>
      </c>
      <c r="L1948" t="s">
        <v>41</v>
      </c>
      <c r="M1948">
        <v>7932</v>
      </c>
      <c r="AG1948">
        <v>7932</v>
      </c>
      <c r="AH1948" s="1">
        <v>41276</v>
      </c>
      <c r="AI1948" s="1">
        <v>41630</v>
      </c>
      <c r="AJ1948" s="1">
        <v>41276</v>
      </c>
    </row>
    <row r="1949" spans="1:36" ht="15">
      <c r="A1949" t="str">
        <f>"50523589B5"</f>
        <v>50523589B5</v>
      </c>
      <c r="B1949" t="str">
        <f t="shared" si="75"/>
        <v>02406911202</v>
      </c>
      <c r="C1949" t="s">
        <v>13</v>
      </c>
      <c r="D1949" t="s">
        <v>1365</v>
      </c>
      <c r="E1949" t="s">
        <v>1367</v>
      </c>
      <c r="F1949" t="s">
        <v>796</v>
      </c>
      <c r="G1949" t="str">
        <f>"02109510368"</f>
        <v>02109510368</v>
      </c>
      <c r="I1949" t="s">
        <v>1447</v>
      </c>
      <c r="L1949" t="s">
        <v>41</v>
      </c>
      <c r="M1949">
        <v>470</v>
      </c>
      <c r="AG1949">
        <v>470</v>
      </c>
      <c r="AH1949" s="1">
        <v>41338</v>
      </c>
      <c r="AI1949" s="1">
        <v>41348</v>
      </c>
      <c r="AJ1949" s="1">
        <v>41338</v>
      </c>
    </row>
    <row r="1950" spans="1:36" ht="15">
      <c r="A1950" t="str">
        <f>"506228166E"</f>
        <v>506228166E</v>
      </c>
      <c r="B1950" t="str">
        <f t="shared" si="75"/>
        <v>02406911202</v>
      </c>
      <c r="C1950" t="s">
        <v>13</v>
      </c>
      <c r="D1950" t="s">
        <v>1365</v>
      </c>
      <c r="E1950" t="s">
        <v>1367</v>
      </c>
      <c r="F1950" t="s">
        <v>796</v>
      </c>
      <c r="G1950" t="str">
        <f>"01453290098"</f>
        <v>01453290098</v>
      </c>
      <c r="I1950" t="s">
        <v>1448</v>
      </c>
      <c r="L1950" t="s">
        <v>41</v>
      </c>
      <c r="M1950">
        <v>5115</v>
      </c>
      <c r="AG1950">
        <v>5115</v>
      </c>
      <c r="AH1950" s="1">
        <v>41281</v>
      </c>
      <c r="AI1950" s="1">
        <v>41356</v>
      </c>
      <c r="AJ1950" s="1">
        <v>41281</v>
      </c>
    </row>
    <row r="1951" spans="1:36" ht="15">
      <c r="A1951" t="str">
        <f>"5071884B12"</f>
        <v>5071884B12</v>
      </c>
      <c r="B1951" t="str">
        <f t="shared" si="75"/>
        <v>02406911202</v>
      </c>
      <c r="C1951" t="s">
        <v>13</v>
      </c>
      <c r="D1951" t="s">
        <v>1365</v>
      </c>
      <c r="E1951" t="s">
        <v>1368</v>
      </c>
      <c r="F1951" t="s">
        <v>796</v>
      </c>
      <c r="G1951" t="str">
        <f>"00615700374"</f>
        <v>00615700374</v>
      </c>
      <c r="I1951" t="s">
        <v>172</v>
      </c>
      <c r="L1951" t="s">
        <v>41</v>
      </c>
      <c r="M1951">
        <v>7000</v>
      </c>
      <c r="AG1951">
        <v>7000</v>
      </c>
      <c r="AH1951" s="1">
        <v>41382</v>
      </c>
      <c r="AI1951" s="1">
        <v>41392</v>
      </c>
      <c r="AJ1951" s="1">
        <v>41382</v>
      </c>
    </row>
    <row r="1952" spans="1:36" ht="15">
      <c r="A1952" t="str">
        <f>"5087995A4A"</f>
        <v>5087995A4A</v>
      </c>
      <c r="B1952" t="str">
        <f t="shared" si="75"/>
        <v>02406911202</v>
      </c>
      <c r="C1952" t="s">
        <v>13</v>
      </c>
      <c r="D1952" t="s">
        <v>1365</v>
      </c>
      <c r="E1952" t="s">
        <v>1367</v>
      </c>
      <c r="F1952" t="s">
        <v>796</v>
      </c>
      <c r="G1952" t="str">
        <f>"02997731209"</f>
        <v>02997731209</v>
      </c>
      <c r="I1952" t="s">
        <v>1085</v>
      </c>
      <c r="L1952" t="s">
        <v>41</v>
      </c>
      <c r="M1952">
        <v>700</v>
      </c>
      <c r="AG1952">
        <v>700</v>
      </c>
      <c r="AH1952" s="1">
        <v>41305</v>
      </c>
      <c r="AI1952" s="1">
        <v>41348</v>
      </c>
      <c r="AJ1952" s="1">
        <v>41305</v>
      </c>
    </row>
    <row r="1953" spans="1:36" ht="15">
      <c r="A1953" t="str">
        <f>"5104905CDC"</f>
        <v>5104905CDC</v>
      </c>
      <c r="B1953" t="str">
        <f t="shared" si="75"/>
        <v>02406911202</v>
      </c>
      <c r="C1953" t="s">
        <v>13</v>
      </c>
      <c r="D1953" t="s">
        <v>1365</v>
      </c>
      <c r="E1953" t="s">
        <v>1374</v>
      </c>
      <c r="F1953" t="s">
        <v>796</v>
      </c>
      <c r="G1953" t="str">
        <f>"00970310397"</f>
        <v>00970310397</v>
      </c>
      <c r="I1953" t="s">
        <v>1449</v>
      </c>
      <c r="L1953" t="s">
        <v>41</v>
      </c>
      <c r="M1953">
        <v>4410</v>
      </c>
      <c r="AG1953">
        <v>4410</v>
      </c>
      <c r="AH1953" s="1">
        <v>41400</v>
      </c>
      <c r="AI1953" s="1">
        <v>41411</v>
      </c>
      <c r="AJ1953" s="1">
        <v>41400</v>
      </c>
    </row>
    <row r="1954" spans="1:36" ht="15">
      <c r="A1954" t="str">
        <f>"511431416D"</f>
        <v>511431416D</v>
      </c>
      <c r="B1954" t="str">
        <f t="shared" si="75"/>
        <v>02406911202</v>
      </c>
      <c r="C1954" t="s">
        <v>13</v>
      </c>
      <c r="D1954" t="s">
        <v>1365</v>
      </c>
      <c r="E1954" t="s">
        <v>1374</v>
      </c>
      <c r="F1954" t="s">
        <v>796</v>
      </c>
      <c r="G1954" t="str">
        <f>"00884570375"</f>
        <v>00884570375</v>
      </c>
      <c r="I1954" t="s">
        <v>1450</v>
      </c>
      <c r="L1954" t="s">
        <v>41</v>
      </c>
      <c r="M1954">
        <v>380</v>
      </c>
      <c r="AG1954">
        <v>380</v>
      </c>
      <c r="AH1954" s="1">
        <v>41402</v>
      </c>
      <c r="AI1954" s="1">
        <v>41412</v>
      </c>
      <c r="AJ1954" s="1">
        <v>41402</v>
      </c>
    </row>
    <row r="1955" spans="1:36" ht="15">
      <c r="A1955" t="str">
        <f>"511437321D"</f>
        <v>511437321D</v>
      </c>
      <c r="B1955" t="str">
        <f t="shared" si="75"/>
        <v>02406911202</v>
      </c>
      <c r="C1955" t="s">
        <v>13</v>
      </c>
      <c r="D1955" t="s">
        <v>1365</v>
      </c>
      <c r="E1955" t="s">
        <v>1374</v>
      </c>
      <c r="F1955" t="s">
        <v>796</v>
      </c>
      <c r="G1955" t="str">
        <f>"02404790392"</f>
        <v>02404790392</v>
      </c>
      <c r="I1955" t="s">
        <v>1451</v>
      </c>
      <c r="L1955" t="s">
        <v>41</v>
      </c>
      <c r="M1955">
        <v>322</v>
      </c>
      <c r="AG1955">
        <v>322</v>
      </c>
      <c r="AH1955" s="1">
        <v>41402</v>
      </c>
      <c r="AI1955" s="1">
        <v>41412</v>
      </c>
      <c r="AJ1955" s="1">
        <v>41402</v>
      </c>
    </row>
    <row r="1956" spans="1:36" ht="15">
      <c r="A1956" t="str">
        <f>"51330051BA"</f>
        <v>51330051BA</v>
      </c>
      <c r="B1956" t="str">
        <f t="shared" si="75"/>
        <v>02406911202</v>
      </c>
      <c r="C1956" t="s">
        <v>13</v>
      </c>
      <c r="D1956" t="s">
        <v>1365</v>
      </c>
      <c r="E1956" t="s">
        <v>1374</v>
      </c>
      <c r="F1956" t="s">
        <v>796</v>
      </c>
      <c r="G1956" t="str">
        <f>"01584121204"</f>
        <v>01584121204</v>
      </c>
      <c r="I1956" t="s">
        <v>1412</v>
      </c>
      <c r="L1956" t="s">
        <v>41</v>
      </c>
      <c r="M1956">
        <v>4100</v>
      </c>
      <c r="AG1956">
        <v>4000.73</v>
      </c>
      <c r="AH1956" s="1">
        <v>41414</v>
      </c>
      <c r="AI1956" s="1">
        <v>41424</v>
      </c>
      <c r="AJ1956" s="1">
        <v>41414</v>
      </c>
    </row>
    <row r="1957" spans="1:36" ht="15">
      <c r="A1957" t="str">
        <f>"5138755AC4"</f>
        <v>5138755AC4</v>
      </c>
      <c r="B1957" t="str">
        <f t="shared" si="75"/>
        <v>02406911202</v>
      </c>
      <c r="C1957" t="s">
        <v>13</v>
      </c>
      <c r="D1957" t="s">
        <v>1365</v>
      </c>
      <c r="E1957" t="s">
        <v>1374</v>
      </c>
      <c r="F1957" t="s">
        <v>796</v>
      </c>
      <c r="G1957" t="str">
        <f>"01145580195"</f>
        <v>01145580195</v>
      </c>
      <c r="I1957" t="s">
        <v>1401</v>
      </c>
      <c r="L1957" t="s">
        <v>41</v>
      </c>
      <c r="M1957">
        <v>620</v>
      </c>
      <c r="AG1957">
        <v>620</v>
      </c>
      <c r="AH1957" s="1">
        <v>41416</v>
      </c>
      <c r="AI1957" s="1">
        <v>41426</v>
      </c>
      <c r="AJ1957" s="1">
        <v>41416</v>
      </c>
    </row>
    <row r="1958" spans="1:36" ht="15">
      <c r="A1958" t="str">
        <f>"51439623BA"</f>
        <v>51439623BA</v>
      </c>
      <c r="B1958" t="str">
        <f t="shared" si="75"/>
        <v>02406911202</v>
      </c>
      <c r="C1958" t="s">
        <v>13</v>
      </c>
      <c r="D1958" t="s">
        <v>1365</v>
      </c>
      <c r="E1958" t="s">
        <v>1368</v>
      </c>
      <c r="F1958" t="s">
        <v>796</v>
      </c>
      <c r="G1958" t="str">
        <f>"11159150157"</f>
        <v>11159150157</v>
      </c>
      <c r="I1958" t="s">
        <v>321</v>
      </c>
      <c r="L1958" t="s">
        <v>41</v>
      </c>
      <c r="M1958">
        <v>1041</v>
      </c>
      <c r="AG1958">
        <v>1041</v>
      </c>
      <c r="AH1958" s="1">
        <v>41418</v>
      </c>
      <c r="AI1958" s="1">
        <v>41428</v>
      </c>
      <c r="AJ1958" s="1">
        <v>41418</v>
      </c>
    </row>
    <row r="1959" spans="1:36" ht="15">
      <c r="A1959" t="str">
        <f>"5149769BCE"</f>
        <v>5149769BCE</v>
      </c>
      <c r="B1959" t="str">
        <f t="shared" si="75"/>
        <v>02406911202</v>
      </c>
      <c r="C1959" t="s">
        <v>13</v>
      </c>
      <c r="D1959" t="s">
        <v>1365</v>
      </c>
      <c r="E1959" t="s">
        <v>1374</v>
      </c>
      <c r="F1959" t="s">
        <v>796</v>
      </c>
      <c r="G1959" t="str">
        <f>"02368211203"</f>
        <v>02368211203</v>
      </c>
      <c r="I1959" t="s">
        <v>1452</v>
      </c>
      <c r="L1959" t="s">
        <v>41</v>
      </c>
      <c r="M1959">
        <v>360</v>
      </c>
      <c r="AG1959">
        <v>360</v>
      </c>
      <c r="AH1959" s="1">
        <v>41422</v>
      </c>
      <c r="AI1959" s="1">
        <v>41432</v>
      </c>
      <c r="AJ1959" s="1">
        <v>41422</v>
      </c>
    </row>
    <row r="1960" spans="1:36" ht="15">
      <c r="A1960" t="str">
        <f>"51536552A5"</f>
        <v>51536552A5</v>
      </c>
      <c r="B1960" t="str">
        <f t="shared" si="75"/>
        <v>02406911202</v>
      </c>
      <c r="C1960" t="s">
        <v>13</v>
      </c>
      <c r="D1960" t="s">
        <v>1365</v>
      </c>
      <c r="E1960" t="s">
        <v>1390</v>
      </c>
      <c r="F1960" t="s">
        <v>796</v>
      </c>
      <c r="G1960" t="str">
        <f>"00896180346"</f>
        <v>00896180346</v>
      </c>
      <c r="I1960" t="s">
        <v>1453</v>
      </c>
      <c r="L1960" t="s">
        <v>41</v>
      </c>
      <c r="M1960">
        <v>900</v>
      </c>
      <c r="AG1960">
        <v>900</v>
      </c>
      <c r="AH1960" s="1">
        <v>41438</v>
      </c>
      <c r="AI1960" s="1">
        <v>41448</v>
      </c>
      <c r="AJ1960" s="1">
        <v>41438</v>
      </c>
    </row>
    <row r="1961" spans="1:36" ht="15">
      <c r="A1961" t="str">
        <f>"51537966FF"</f>
        <v>51537966FF</v>
      </c>
      <c r="B1961" t="str">
        <f t="shared" si="75"/>
        <v>02406911202</v>
      </c>
      <c r="C1961" t="s">
        <v>13</v>
      </c>
      <c r="D1961" t="s">
        <v>1365</v>
      </c>
      <c r="E1961" t="s">
        <v>1368</v>
      </c>
      <c r="F1961" t="s">
        <v>796</v>
      </c>
      <c r="G1961" t="str">
        <f>"03555970379"</f>
        <v>03555970379</v>
      </c>
      <c r="I1961" t="s">
        <v>777</v>
      </c>
      <c r="L1961" t="s">
        <v>41</v>
      </c>
      <c r="M1961">
        <v>1070</v>
      </c>
      <c r="AG1961">
        <v>1070</v>
      </c>
      <c r="AH1961" s="1">
        <v>41424</v>
      </c>
      <c r="AI1961" s="1">
        <v>41434</v>
      </c>
      <c r="AJ1961" s="1">
        <v>41424</v>
      </c>
    </row>
    <row r="1962" spans="1:36" ht="15">
      <c r="A1962" t="str">
        <f>"5155319FCE"</f>
        <v>5155319FCE</v>
      </c>
      <c r="B1962" t="str">
        <f t="shared" si="75"/>
        <v>02406911202</v>
      </c>
      <c r="C1962" t="s">
        <v>13</v>
      </c>
      <c r="D1962" t="s">
        <v>1365</v>
      </c>
      <c r="E1962" t="s">
        <v>1390</v>
      </c>
      <c r="F1962" t="s">
        <v>796</v>
      </c>
      <c r="G1962" t="str">
        <f>"05376651005"</f>
        <v>05376651005</v>
      </c>
      <c r="I1962" t="s">
        <v>1454</v>
      </c>
      <c r="L1962" t="s">
        <v>41</v>
      </c>
      <c r="M1962">
        <v>377.78</v>
      </c>
      <c r="AG1962">
        <v>377.78</v>
      </c>
      <c r="AH1962" s="1">
        <v>41429</v>
      </c>
      <c r="AI1962" s="1">
        <v>41439</v>
      </c>
      <c r="AJ1962" s="1">
        <v>41429</v>
      </c>
    </row>
    <row r="1963" spans="1:36" ht="15">
      <c r="A1963" t="str">
        <f>"5155647E7B"</f>
        <v>5155647E7B</v>
      </c>
      <c r="B1963" t="str">
        <f t="shared" si="75"/>
        <v>02406911202</v>
      </c>
      <c r="C1963" t="s">
        <v>13</v>
      </c>
      <c r="D1963" t="s">
        <v>1365</v>
      </c>
      <c r="E1963" t="s">
        <v>1366</v>
      </c>
      <c r="F1963" t="s">
        <v>796</v>
      </c>
      <c r="G1963" t="str">
        <f>"01509320691"</f>
        <v>01509320691</v>
      </c>
      <c r="I1963" t="s">
        <v>1389</v>
      </c>
      <c r="L1963" t="s">
        <v>41</v>
      </c>
      <c r="M1963">
        <v>314</v>
      </c>
      <c r="AG1963">
        <v>314</v>
      </c>
      <c r="AH1963" s="1">
        <v>41443</v>
      </c>
      <c r="AI1963" s="1">
        <v>41453</v>
      </c>
      <c r="AJ1963" s="1">
        <v>41443</v>
      </c>
    </row>
    <row r="1964" spans="1:36" ht="15">
      <c r="A1964" t="str">
        <f>"5195276D5E"</f>
        <v>5195276D5E</v>
      </c>
      <c r="B1964" t="str">
        <f t="shared" si="75"/>
        <v>02406911202</v>
      </c>
      <c r="C1964" t="s">
        <v>13</v>
      </c>
      <c r="D1964" t="s">
        <v>1365</v>
      </c>
      <c r="E1964" t="s">
        <v>1390</v>
      </c>
      <c r="F1964" t="s">
        <v>796</v>
      </c>
      <c r="G1964" t="str">
        <f>"02498790969"</f>
        <v>02498790969</v>
      </c>
      <c r="I1964" t="s">
        <v>1455</v>
      </c>
      <c r="L1964" t="s">
        <v>41</v>
      </c>
      <c r="M1964">
        <v>1690</v>
      </c>
      <c r="AG1964">
        <v>1690</v>
      </c>
      <c r="AH1964" s="1">
        <v>41463</v>
      </c>
      <c r="AI1964" s="1">
        <v>41473</v>
      </c>
      <c r="AJ1964" s="1">
        <v>41463</v>
      </c>
    </row>
    <row r="1965" spans="1:36" ht="15">
      <c r="A1965" t="str">
        <f>"519973905E"</f>
        <v>519973905E</v>
      </c>
      <c r="B1965" t="str">
        <f t="shared" si="75"/>
        <v>02406911202</v>
      </c>
      <c r="C1965" t="s">
        <v>13</v>
      </c>
      <c r="D1965" t="s">
        <v>1365</v>
      </c>
      <c r="E1965" t="s">
        <v>1367</v>
      </c>
      <c r="F1965" t="s">
        <v>796</v>
      </c>
      <c r="G1965" t="str">
        <f>"11575580151"</f>
        <v>11575580151</v>
      </c>
      <c r="I1965" t="s">
        <v>570</v>
      </c>
      <c r="L1965" t="s">
        <v>41</v>
      </c>
      <c r="M1965">
        <v>7270.7</v>
      </c>
      <c r="AG1965">
        <v>7270.7</v>
      </c>
      <c r="AH1965" s="1">
        <v>41449</v>
      </c>
      <c r="AI1965" s="1">
        <v>41596</v>
      </c>
      <c r="AJ1965" s="1">
        <v>41449</v>
      </c>
    </row>
    <row r="1966" spans="1:36" ht="15">
      <c r="A1966" t="str">
        <f>"51997422D7"</f>
        <v>51997422D7</v>
      </c>
      <c r="B1966" t="str">
        <f t="shared" si="75"/>
        <v>02406911202</v>
      </c>
      <c r="C1966" t="s">
        <v>13</v>
      </c>
      <c r="D1966" t="s">
        <v>1365</v>
      </c>
      <c r="E1966" t="s">
        <v>1367</v>
      </c>
      <c r="F1966" t="s">
        <v>796</v>
      </c>
      <c r="G1966" t="str">
        <f>"03587070370"</f>
        <v>03587070370</v>
      </c>
      <c r="I1966" t="s">
        <v>965</v>
      </c>
      <c r="L1966" t="s">
        <v>41</v>
      </c>
      <c r="M1966">
        <v>4199.7</v>
      </c>
      <c r="AG1966">
        <v>4199.7</v>
      </c>
      <c r="AH1966" s="1">
        <v>41366</v>
      </c>
      <c r="AI1966" s="1">
        <v>41638</v>
      </c>
      <c r="AJ1966" s="1">
        <v>41366</v>
      </c>
    </row>
    <row r="1967" spans="1:36" ht="15">
      <c r="A1967" t="str">
        <f>"52039134DB"</f>
        <v>52039134DB</v>
      </c>
      <c r="B1967" t="str">
        <f t="shared" si="75"/>
        <v>02406911202</v>
      </c>
      <c r="C1967" t="s">
        <v>13</v>
      </c>
      <c r="D1967" t="s">
        <v>1365</v>
      </c>
      <c r="E1967" t="s">
        <v>1366</v>
      </c>
      <c r="F1967" t="s">
        <v>796</v>
      </c>
      <c r="G1967" t="str">
        <f>"01167730355"</f>
        <v>01167730355</v>
      </c>
      <c r="I1967" t="s">
        <v>1456</v>
      </c>
      <c r="L1967" t="s">
        <v>41</v>
      </c>
      <c r="M1967">
        <v>4086</v>
      </c>
      <c r="AG1967">
        <v>4086</v>
      </c>
      <c r="AH1967" s="1">
        <v>41450</v>
      </c>
      <c r="AI1967" s="1">
        <v>41460</v>
      </c>
      <c r="AJ1967" s="1">
        <v>41450</v>
      </c>
    </row>
    <row r="1968" spans="1:36" ht="15">
      <c r="A1968" t="str">
        <f>"52060876ES"</f>
        <v>52060876ES</v>
      </c>
      <c r="B1968" t="str">
        <f t="shared" si="75"/>
        <v>02406911202</v>
      </c>
      <c r="C1968" t="s">
        <v>13</v>
      </c>
      <c r="D1968" t="s">
        <v>1365</v>
      </c>
      <c r="E1968" t="s">
        <v>1367</v>
      </c>
      <c r="F1968" t="s">
        <v>796</v>
      </c>
      <c r="G1968" t="str">
        <f>"04331000374"</f>
        <v>04331000374</v>
      </c>
      <c r="I1968" t="s">
        <v>1396</v>
      </c>
      <c r="L1968" t="s">
        <v>41</v>
      </c>
      <c r="M1968">
        <v>831.77</v>
      </c>
      <c r="AG1968">
        <v>831.77</v>
      </c>
      <c r="AH1968" s="1">
        <v>41451</v>
      </c>
      <c r="AI1968" s="1">
        <v>41469</v>
      </c>
      <c r="AJ1968" s="1">
        <v>41451</v>
      </c>
    </row>
    <row r="1969" spans="1:36" ht="15">
      <c r="A1969" t="str">
        <f>"5214451D14"</f>
        <v>5214451D14</v>
      </c>
      <c r="B1969" t="str">
        <f t="shared" si="75"/>
        <v>02406911202</v>
      </c>
      <c r="C1969" t="s">
        <v>13</v>
      </c>
      <c r="D1969" t="s">
        <v>1365</v>
      </c>
      <c r="E1969" t="s">
        <v>1368</v>
      </c>
      <c r="F1969" t="s">
        <v>796</v>
      </c>
      <c r="G1969" t="str">
        <f>"04488650484"</f>
        <v>04488650484</v>
      </c>
      <c r="I1969" t="s">
        <v>1406</v>
      </c>
      <c r="L1969" t="s">
        <v>41</v>
      </c>
      <c r="M1969">
        <v>3000</v>
      </c>
      <c r="AG1969">
        <v>3000</v>
      </c>
      <c r="AH1969" s="1">
        <v>41471</v>
      </c>
      <c r="AI1969" s="1">
        <v>41481</v>
      </c>
      <c r="AJ1969" s="1">
        <v>41471</v>
      </c>
    </row>
    <row r="1970" spans="1:36" ht="15">
      <c r="A1970" t="str">
        <f>"5224866FCE"</f>
        <v>5224866FCE</v>
      </c>
      <c r="B1970" t="str">
        <f t="shared" si="75"/>
        <v>02406911202</v>
      </c>
      <c r="C1970" t="s">
        <v>13</v>
      </c>
      <c r="D1970" t="s">
        <v>1365</v>
      </c>
      <c r="E1970" t="s">
        <v>1368</v>
      </c>
      <c r="F1970" t="s">
        <v>796</v>
      </c>
      <c r="G1970" t="str">
        <f>"05570960962"</f>
        <v>05570960962</v>
      </c>
      <c r="I1970" t="s">
        <v>1457</v>
      </c>
      <c r="L1970" t="s">
        <v>41</v>
      </c>
      <c r="M1970">
        <v>13380.65</v>
      </c>
      <c r="AG1970">
        <v>13380.65</v>
      </c>
      <c r="AH1970" s="1">
        <v>41463</v>
      </c>
      <c r="AI1970" s="1">
        <v>41473</v>
      </c>
      <c r="AJ1970" s="1">
        <v>41463</v>
      </c>
    </row>
    <row r="1971" spans="1:36" ht="15">
      <c r="A1971" t="str">
        <f>"52290783AC"</f>
        <v>52290783AC</v>
      </c>
      <c r="B1971" t="str">
        <f t="shared" si="75"/>
        <v>02406911202</v>
      </c>
      <c r="C1971" t="s">
        <v>13</v>
      </c>
      <c r="D1971" t="s">
        <v>1365</v>
      </c>
      <c r="E1971" t="s">
        <v>1390</v>
      </c>
      <c r="F1971" t="s">
        <v>796</v>
      </c>
      <c r="G1971" t="str">
        <f>"02367210735"</f>
        <v>02367210735</v>
      </c>
      <c r="I1971" t="s">
        <v>569</v>
      </c>
      <c r="L1971" t="s">
        <v>41</v>
      </c>
      <c r="M1971">
        <v>591</v>
      </c>
      <c r="AG1971">
        <v>591</v>
      </c>
      <c r="AH1971" s="1">
        <v>41464</v>
      </c>
      <c r="AI1971" s="1">
        <v>41474</v>
      </c>
      <c r="AJ1971" s="1">
        <v>41464</v>
      </c>
    </row>
    <row r="1972" spans="1:36" ht="15">
      <c r="A1972" t="str">
        <f>"523163629A"</f>
        <v>523163629A</v>
      </c>
      <c r="B1972" t="str">
        <f t="shared" si="75"/>
        <v>02406911202</v>
      </c>
      <c r="C1972" t="s">
        <v>13</v>
      </c>
      <c r="D1972" t="s">
        <v>1365</v>
      </c>
      <c r="E1972" t="s">
        <v>1368</v>
      </c>
      <c r="F1972" t="s">
        <v>796</v>
      </c>
      <c r="G1972" t="str">
        <f>"00801720152"</f>
        <v>00801720152</v>
      </c>
      <c r="I1972" t="s">
        <v>260</v>
      </c>
      <c r="L1972" t="s">
        <v>41</v>
      </c>
      <c r="M1972">
        <v>4800</v>
      </c>
      <c r="AG1972">
        <v>4800</v>
      </c>
      <c r="AH1972" s="1">
        <v>41474</v>
      </c>
      <c r="AI1972" s="1">
        <v>41484</v>
      </c>
      <c r="AJ1972" s="1">
        <v>41474</v>
      </c>
    </row>
    <row r="1973" spans="1:36" ht="15">
      <c r="A1973" t="str">
        <f>"5242196CFA"</f>
        <v>5242196CFA</v>
      </c>
      <c r="B1973" t="str">
        <f t="shared" si="75"/>
        <v>02406911202</v>
      </c>
      <c r="C1973" t="s">
        <v>13</v>
      </c>
      <c r="D1973" t="s">
        <v>1365</v>
      </c>
      <c r="E1973" t="s">
        <v>1368</v>
      </c>
      <c r="F1973" t="s">
        <v>796</v>
      </c>
      <c r="G1973" t="str">
        <f>"04888840487"</f>
        <v>04888840487</v>
      </c>
      <c r="I1973" t="s">
        <v>977</v>
      </c>
      <c r="L1973" t="s">
        <v>41</v>
      </c>
      <c r="M1973">
        <v>5760</v>
      </c>
      <c r="AG1973">
        <v>5760</v>
      </c>
      <c r="AH1973" s="1">
        <v>41470</v>
      </c>
      <c r="AI1973" s="1">
        <v>41480</v>
      </c>
      <c r="AJ1973" s="1">
        <v>41470</v>
      </c>
    </row>
    <row r="1974" spans="1:36" ht="15">
      <c r="A1974" t="str">
        <f>"52482977B0"</f>
        <v>52482977B0</v>
      </c>
      <c r="B1974" t="str">
        <f t="shared" si="75"/>
        <v>02406911202</v>
      </c>
      <c r="C1974" t="s">
        <v>13</v>
      </c>
      <c r="D1974" t="s">
        <v>1365</v>
      </c>
      <c r="E1974" t="s">
        <v>1366</v>
      </c>
      <c r="F1974" t="s">
        <v>796</v>
      </c>
      <c r="G1974" t="str">
        <f>"02027571203"</f>
        <v>02027571203</v>
      </c>
      <c r="I1974" t="s">
        <v>1399</v>
      </c>
      <c r="L1974" t="s">
        <v>41</v>
      </c>
      <c r="M1974">
        <v>580</v>
      </c>
      <c r="AG1974">
        <v>580</v>
      </c>
      <c r="AH1974" s="1">
        <v>41486</v>
      </c>
      <c r="AI1974" s="1">
        <v>41496</v>
      </c>
      <c r="AJ1974" s="1">
        <v>41486</v>
      </c>
    </row>
    <row r="1975" spans="1:36" ht="15">
      <c r="A1975" t="str">
        <f>"5267889F82"</f>
        <v>5267889F82</v>
      </c>
      <c r="B1975" t="str">
        <f t="shared" si="75"/>
        <v>02406911202</v>
      </c>
      <c r="C1975" t="s">
        <v>13</v>
      </c>
      <c r="D1975" t="s">
        <v>1365</v>
      </c>
      <c r="E1975" t="s">
        <v>1368</v>
      </c>
      <c r="F1975" t="s">
        <v>796</v>
      </c>
      <c r="G1975" t="str">
        <f>"05131180969"</f>
        <v>05131180969</v>
      </c>
      <c r="I1975" t="s">
        <v>516</v>
      </c>
      <c r="L1975" t="s">
        <v>41</v>
      </c>
      <c r="M1975">
        <v>2550</v>
      </c>
      <c r="AG1975">
        <v>2550</v>
      </c>
      <c r="AH1975" s="1">
        <v>41485</v>
      </c>
      <c r="AI1975" s="1">
        <v>41495</v>
      </c>
      <c r="AJ1975" s="1">
        <v>41485</v>
      </c>
    </row>
    <row r="1976" spans="1:36" ht="15">
      <c r="A1976" t="str">
        <f>"52788504D3"</f>
        <v>52788504D3</v>
      </c>
      <c r="B1976" t="str">
        <f t="shared" si="75"/>
        <v>02406911202</v>
      </c>
      <c r="C1976" t="s">
        <v>13</v>
      </c>
      <c r="D1976" t="s">
        <v>1365</v>
      </c>
      <c r="E1976" t="s">
        <v>1374</v>
      </c>
      <c r="F1976" t="s">
        <v>796</v>
      </c>
      <c r="G1976" t="str">
        <f>"02119100358"</f>
        <v>02119100358</v>
      </c>
      <c r="I1976" t="s">
        <v>1458</v>
      </c>
      <c r="L1976" t="s">
        <v>41</v>
      </c>
      <c r="M1976">
        <v>9774</v>
      </c>
      <c r="AG1976">
        <v>9773.18</v>
      </c>
      <c r="AH1976" s="1">
        <v>41275</v>
      </c>
      <c r="AI1976" s="1">
        <v>41285</v>
      </c>
      <c r="AJ1976" s="1">
        <v>41275</v>
      </c>
    </row>
    <row r="1977" spans="1:36" ht="15">
      <c r="A1977" t="str">
        <f>"52817459D9"</f>
        <v>52817459D9</v>
      </c>
      <c r="B1977" t="str">
        <f t="shared" si="75"/>
        <v>02406911202</v>
      </c>
      <c r="C1977" t="s">
        <v>13</v>
      </c>
      <c r="D1977" t="s">
        <v>1365</v>
      </c>
      <c r="E1977" t="s">
        <v>1376</v>
      </c>
      <c r="F1977" t="s">
        <v>796</v>
      </c>
      <c r="G1977" t="str">
        <f>"00742090152"</f>
        <v>00742090152</v>
      </c>
      <c r="I1977" t="s">
        <v>1459</v>
      </c>
      <c r="L1977" t="s">
        <v>41</v>
      </c>
      <c r="M1977">
        <v>11700</v>
      </c>
      <c r="AG1977">
        <v>11700</v>
      </c>
      <c r="AH1977" s="1">
        <v>41473</v>
      </c>
      <c r="AI1977" s="1">
        <v>41483</v>
      </c>
      <c r="AJ1977" s="1">
        <v>41473</v>
      </c>
    </row>
    <row r="1978" spans="1:36" ht="15">
      <c r="A1978" t="str">
        <f>"52817730F7"</f>
        <v>52817730F7</v>
      </c>
      <c r="B1978" t="str">
        <f t="shared" si="75"/>
        <v>02406911202</v>
      </c>
      <c r="C1978" t="s">
        <v>13</v>
      </c>
      <c r="D1978" t="s">
        <v>1365</v>
      </c>
      <c r="E1978" t="s">
        <v>1376</v>
      </c>
      <c r="F1978" t="s">
        <v>796</v>
      </c>
      <c r="G1978" t="str">
        <f>"04185110154"</f>
        <v>04185110154</v>
      </c>
      <c r="I1978" t="s">
        <v>466</v>
      </c>
      <c r="L1978" t="s">
        <v>41</v>
      </c>
      <c r="M1978">
        <v>800</v>
      </c>
      <c r="AG1978">
        <v>770</v>
      </c>
      <c r="AH1978" s="1">
        <v>41473</v>
      </c>
      <c r="AI1978" s="1">
        <v>41483</v>
      </c>
      <c r="AJ1978" s="1">
        <v>41473</v>
      </c>
    </row>
    <row r="1979" spans="1:36" ht="15">
      <c r="A1979" t="str">
        <f>"5281788D54"</f>
        <v>5281788D54</v>
      </c>
      <c r="B1979" t="str">
        <f t="shared" si="75"/>
        <v>02406911202</v>
      </c>
      <c r="C1979" t="s">
        <v>13</v>
      </c>
      <c r="D1979" t="s">
        <v>1365</v>
      </c>
      <c r="E1979" t="s">
        <v>1376</v>
      </c>
      <c r="F1979" t="s">
        <v>796</v>
      </c>
      <c r="G1979" t="str">
        <f>"01746511201"</f>
        <v>01746511201</v>
      </c>
      <c r="I1979" t="s">
        <v>1423</v>
      </c>
      <c r="L1979" t="s">
        <v>41</v>
      </c>
      <c r="M1979">
        <v>7444.72</v>
      </c>
      <c r="AG1979">
        <v>7444.72</v>
      </c>
      <c r="AH1979" s="1">
        <v>41473</v>
      </c>
      <c r="AI1979" s="1">
        <v>41483</v>
      </c>
      <c r="AJ1979" s="1">
        <v>41473</v>
      </c>
    </row>
    <row r="1980" spans="1:36" ht="15">
      <c r="A1980" t="str">
        <f>"5319786A46"</f>
        <v>5319786A46</v>
      </c>
      <c r="B1980" t="str">
        <f t="shared" si="75"/>
        <v>02406911202</v>
      </c>
      <c r="C1980" t="s">
        <v>13</v>
      </c>
      <c r="D1980" t="s">
        <v>1365</v>
      </c>
      <c r="E1980" t="s">
        <v>1367</v>
      </c>
      <c r="F1980" t="s">
        <v>796</v>
      </c>
      <c r="G1980" t="str">
        <f>"02431141205"</f>
        <v>02431141205</v>
      </c>
      <c r="I1980" t="s">
        <v>431</v>
      </c>
      <c r="L1980" t="s">
        <v>41</v>
      </c>
      <c r="M1980">
        <v>718.5</v>
      </c>
      <c r="AG1980">
        <v>718.5</v>
      </c>
      <c r="AH1980" s="1">
        <v>41414</v>
      </c>
      <c r="AI1980" s="1">
        <v>41571</v>
      </c>
      <c r="AJ1980" s="1">
        <v>41414</v>
      </c>
    </row>
    <row r="1981" spans="1:36" ht="15">
      <c r="A1981" t="str">
        <f>"531980384E"</f>
        <v>531980384E</v>
      </c>
      <c r="B1981" t="str">
        <f t="shared" si="75"/>
        <v>02406911202</v>
      </c>
      <c r="C1981" t="s">
        <v>13</v>
      </c>
      <c r="D1981" t="s">
        <v>1365</v>
      </c>
      <c r="E1981" t="s">
        <v>1367</v>
      </c>
      <c r="F1981" t="s">
        <v>796</v>
      </c>
      <c r="G1981" t="str">
        <f>"00524830379"</f>
        <v>00524830379</v>
      </c>
      <c r="I1981" t="s">
        <v>1460</v>
      </c>
      <c r="L1981" t="s">
        <v>41</v>
      </c>
      <c r="M1981">
        <v>200</v>
      </c>
      <c r="AG1981">
        <v>200</v>
      </c>
      <c r="AH1981" s="1">
        <v>41422</v>
      </c>
      <c r="AI1981" s="1">
        <v>41432</v>
      </c>
      <c r="AJ1981" s="1">
        <v>41422</v>
      </c>
    </row>
    <row r="1982" spans="1:36" ht="15">
      <c r="A1982" t="str">
        <f>"5319808C6D"</f>
        <v>5319808C6D</v>
      </c>
      <c r="B1982" t="str">
        <f t="shared" si="75"/>
        <v>02406911202</v>
      </c>
      <c r="C1982" t="s">
        <v>13</v>
      </c>
      <c r="D1982" t="s">
        <v>1365</v>
      </c>
      <c r="E1982" t="s">
        <v>1367</v>
      </c>
      <c r="F1982" t="s">
        <v>796</v>
      </c>
      <c r="G1982" t="str">
        <f>"03555970379"</f>
        <v>03555970379</v>
      </c>
      <c r="I1982" t="s">
        <v>777</v>
      </c>
      <c r="L1982" t="s">
        <v>41</v>
      </c>
      <c r="M1982">
        <v>1977.58</v>
      </c>
      <c r="AG1982">
        <v>1977.58</v>
      </c>
      <c r="AH1982" s="1">
        <v>41281</v>
      </c>
      <c r="AI1982" s="1">
        <v>41629</v>
      </c>
      <c r="AJ1982" s="1">
        <v>41281</v>
      </c>
    </row>
    <row r="1983" spans="1:36" ht="15">
      <c r="A1983" t="str">
        <f>"53198341ES"</f>
        <v>53198341ES</v>
      </c>
      <c r="B1983" t="str">
        <f t="shared" si="75"/>
        <v>02406911202</v>
      </c>
      <c r="C1983" t="s">
        <v>13</v>
      </c>
      <c r="D1983" t="s">
        <v>1365</v>
      </c>
      <c r="E1983" t="s">
        <v>1367</v>
      </c>
      <c r="F1983" t="s">
        <v>796</v>
      </c>
      <c r="G1983" t="str">
        <f>"01590520449"</f>
        <v>01590520449</v>
      </c>
      <c r="I1983" t="s">
        <v>1461</v>
      </c>
      <c r="L1983" t="s">
        <v>41</v>
      </c>
      <c r="M1983">
        <v>295</v>
      </c>
      <c r="AG1983">
        <v>295</v>
      </c>
      <c r="AH1983" s="1">
        <v>41465</v>
      </c>
      <c r="AI1983" s="1">
        <v>41475</v>
      </c>
      <c r="AJ1983" s="1">
        <v>41465</v>
      </c>
    </row>
    <row r="1984" spans="1:36" ht="15">
      <c r="A1984" t="str">
        <f>"531984287D"</f>
        <v>531984287D</v>
      </c>
      <c r="B1984" t="str">
        <f t="shared" si="75"/>
        <v>02406911202</v>
      </c>
      <c r="C1984" t="s">
        <v>13</v>
      </c>
      <c r="D1984" t="s">
        <v>1365</v>
      </c>
      <c r="E1984" t="s">
        <v>1367</v>
      </c>
      <c r="F1984" t="s">
        <v>796</v>
      </c>
      <c r="G1984" t="str">
        <f>"02723670960"</f>
        <v>02723670960</v>
      </c>
      <c r="I1984" t="s">
        <v>429</v>
      </c>
      <c r="L1984" t="s">
        <v>41</v>
      </c>
      <c r="M1984">
        <v>6596.3</v>
      </c>
      <c r="AG1984">
        <v>2673.3</v>
      </c>
      <c r="AH1984" s="1">
        <v>41376</v>
      </c>
      <c r="AI1984" s="1">
        <v>41565</v>
      </c>
      <c r="AJ1984" s="1">
        <v>41376</v>
      </c>
    </row>
    <row r="1985" spans="1:36" ht="15">
      <c r="A1985" t="str">
        <f>"53206481A1"</f>
        <v>53206481A1</v>
      </c>
      <c r="B1985" t="str">
        <f t="shared" si="75"/>
        <v>02406911202</v>
      </c>
      <c r="C1985" t="s">
        <v>13</v>
      </c>
      <c r="D1985" t="s">
        <v>1365</v>
      </c>
      <c r="E1985" t="s">
        <v>1367</v>
      </c>
      <c r="F1985" t="s">
        <v>796</v>
      </c>
      <c r="G1985" t="str">
        <f>"01781130289"</f>
        <v>01781130289</v>
      </c>
      <c r="I1985" t="s">
        <v>1462</v>
      </c>
      <c r="L1985" t="s">
        <v>41</v>
      </c>
      <c r="M1985">
        <v>1674</v>
      </c>
      <c r="AG1985">
        <v>1674</v>
      </c>
      <c r="AH1985" s="1">
        <v>41275</v>
      </c>
      <c r="AI1985" s="1">
        <v>41285</v>
      </c>
      <c r="AJ1985" s="1">
        <v>41275</v>
      </c>
    </row>
    <row r="1986" spans="1:36" ht="15">
      <c r="A1986" t="str">
        <f>"53206703C8"</f>
        <v>53206703C8</v>
      </c>
      <c r="B1986" t="str">
        <f aca="true" t="shared" si="76" ref="B1986:B2049">"02406911202"</f>
        <v>02406911202</v>
      </c>
      <c r="C1986" t="s">
        <v>13</v>
      </c>
      <c r="D1986" t="s">
        <v>1365</v>
      </c>
      <c r="E1986" t="s">
        <v>1367</v>
      </c>
      <c r="F1986" t="s">
        <v>796</v>
      </c>
      <c r="G1986" t="str">
        <f>"00597211200"</f>
        <v>00597211200</v>
      </c>
      <c r="I1986" t="s">
        <v>1463</v>
      </c>
      <c r="L1986" t="s">
        <v>41</v>
      </c>
      <c r="M1986">
        <v>13785.8</v>
      </c>
      <c r="AG1986">
        <v>13785.8</v>
      </c>
      <c r="AH1986" s="1">
        <v>41407</v>
      </c>
      <c r="AI1986" s="1">
        <v>41621</v>
      </c>
      <c r="AJ1986" s="1">
        <v>41407</v>
      </c>
    </row>
    <row r="1987" spans="1:36" ht="15">
      <c r="A1987" t="str">
        <f>"5320720D08"</f>
        <v>5320720D08</v>
      </c>
      <c r="B1987" t="str">
        <f t="shared" si="76"/>
        <v>02406911202</v>
      </c>
      <c r="C1987" t="s">
        <v>13</v>
      </c>
      <c r="D1987" t="s">
        <v>1365</v>
      </c>
      <c r="E1987" t="s">
        <v>1367</v>
      </c>
      <c r="F1987" t="s">
        <v>796</v>
      </c>
      <c r="G1987" t="str">
        <f>"10574970017"</f>
        <v>10574970017</v>
      </c>
      <c r="I1987" t="s">
        <v>316</v>
      </c>
      <c r="L1987" t="s">
        <v>41</v>
      </c>
      <c r="M1987">
        <v>225</v>
      </c>
      <c r="AG1987">
        <v>225</v>
      </c>
      <c r="AH1987" s="1">
        <v>41317</v>
      </c>
      <c r="AI1987" s="1">
        <v>41526</v>
      </c>
      <c r="AJ1987" s="1">
        <v>41317</v>
      </c>
    </row>
    <row r="1988" spans="1:36" ht="15">
      <c r="A1988" t="str">
        <f>"5320932BFB"</f>
        <v>5320932BFB</v>
      </c>
      <c r="B1988" t="str">
        <f t="shared" si="76"/>
        <v>02406911202</v>
      </c>
      <c r="C1988" t="s">
        <v>13</v>
      </c>
      <c r="D1988" t="s">
        <v>1365</v>
      </c>
      <c r="E1988" t="s">
        <v>1367</v>
      </c>
      <c r="F1988" t="s">
        <v>796</v>
      </c>
      <c r="G1988" t="str">
        <f>"02027571203"</f>
        <v>02027571203</v>
      </c>
      <c r="I1988" t="s">
        <v>1399</v>
      </c>
      <c r="L1988" t="s">
        <v>41</v>
      </c>
      <c r="M1988">
        <v>944.35</v>
      </c>
      <c r="AG1988">
        <v>944.35</v>
      </c>
      <c r="AH1988" s="1">
        <v>41323</v>
      </c>
      <c r="AI1988" s="1">
        <v>41557</v>
      </c>
      <c r="AJ1988" s="1">
        <v>41323</v>
      </c>
    </row>
    <row r="1989" spans="1:36" ht="15">
      <c r="A1989" t="str">
        <f>"53213862A5"</f>
        <v>53213862A5</v>
      </c>
      <c r="B1989" t="str">
        <f t="shared" si="76"/>
        <v>02406911202</v>
      </c>
      <c r="C1989" t="s">
        <v>13</v>
      </c>
      <c r="D1989" t="s">
        <v>1365</v>
      </c>
      <c r="E1989" t="s">
        <v>1367</v>
      </c>
      <c r="F1989" t="s">
        <v>796</v>
      </c>
      <c r="G1989" t="str">
        <f>"01481230389"</f>
        <v>01481230389</v>
      </c>
      <c r="I1989" t="s">
        <v>1426</v>
      </c>
      <c r="L1989" t="s">
        <v>41</v>
      </c>
      <c r="M1989">
        <v>4080.2</v>
      </c>
      <c r="AG1989">
        <v>4080.2</v>
      </c>
      <c r="AH1989" s="1">
        <v>41302</v>
      </c>
      <c r="AI1989" s="1">
        <v>41649</v>
      </c>
      <c r="AJ1989" s="1">
        <v>41302</v>
      </c>
    </row>
    <row r="1990" spans="1:36" ht="15">
      <c r="A1990" t="str">
        <f>"532139386A"</f>
        <v>532139386A</v>
      </c>
      <c r="B1990" t="str">
        <f t="shared" si="76"/>
        <v>02406911202</v>
      </c>
      <c r="C1990" t="s">
        <v>13</v>
      </c>
      <c r="D1990" t="s">
        <v>1365</v>
      </c>
      <c r="E1990" t="s">
        <v>1367</v>
      </c>
      <c r="F1990" t="s">
        <v>796</v>
      </c>
      <c r="G1990" t="str">
        <f>"00458450012"</f>
        <v>00458450012</v>
      </c>
      <c r="I1990" t="s">
        <v>665</v>
      </c>
      <c r="L1990" t="s">
        <v>41</v>
      </c>
      <c r="M1990">
        <v>2696</v>
      </c>
      <c r="AG1990">
        <v>2696</v>
      </c>
      <c r="AH1990" s="1">
        <v>41275</v>
      </c>
      <c r="AI1990" s="1">
        <v>41285</v>
      </c>
      <c r="AJ1990" s="1">
        <v>41275</v>
      </c>
    </row>
    <row r="1991" spans="1:36" ht="15">
      <c r="A1991" t="str">
        <f>"53215000B9"</f>
        <v>53215000B9</v>
      </c>
      <c r="B1991" t="str">
        <f t="shared" si="76"/>
        <v>02406911202</v>
      </c>
      <c r="C1991" t="s">
        <v>13</v>
      </c>
      <c r="D1991" t="s">
        <v>1365</v>
      </c>
      <c r="E1991" t="s">
        <v>1367</v>
      </c>
      <c r="F1991" t="s">
        <v>796</v>
      </c>
      <c r="G1991" t="str">
        <f>"07249200960"</f>
        <v>07249200960</v>
      </c>
      <c r="I1991" t="s">
        <v>1464</v>
      </c>
      <c r="L1991" t="s">
        <v>41</v>
      </c>
      <c r="M1991">
        <v>580.15</v>
      </c>
      <c r="AG1991">
        <v>580.15</v>
      </c>
      <c r="AH1991" s="1">
        <v>41432</v>
      </c>
      <c r="AI1991" s="1">
        <v>41442</v>
      </c>
      <c r="AJ1991" s="1">
        <v>41432</v>
      </c>
    </row>
    <row r="1992" spans="1:36" ht="15">
      <c r="A1992" t="str">
        <f>"5321516DE9"</f>
        <v>5321516DE9</v>
      </c>
      <c r="B1992" t="str">
        <f t="shared" si="76"/>
        <v>02406911202</v>
      </c>
      <c r="C1992" t="s">
        <v>13</v>
      </c>
      <c r="D1992" t="s">
        <v>1365</v>
      </c>
      <c r="E1992" t="s">
        <v>1367</v>
      </c>
      <c r="F1992" t="s">
        <v>796</v>
      </c>
      <c r="G1992" t="str">
        <f>"06790980962"</f>
        <v>06790980962</v>
      </c>
      <c r="I1992" t="s">
        <v>1465</v>
      </c>
      <c r="L1992" t="s">
        <v>41</v>
      </c>
      <c r="M1992">
        <v>227</v>
      </c>
      <c r="AG1992">
        <v>227</v>
      </c>
      <c r="AH1992" s="1">
        <v>41481</v>
      </c>
      <c r="AI1992" s="1">
        <v>41491</v>
      </c>
      <c r="AJ1992" s="1">
        <v>41481</v>
      </c>
    </row>
    <row r="1993" spans="1:36" ht="15">
      <c r="A1993" t="str">
        <f>"532156672E"</f>
        <v>532156672E</v>
      </c>
      <c r="B1993" t="str">
        <f t="shared" si="76"/>
        <v>02406911202</v>
      </c>
      <c r="C1993" t="s">
        <v>13</v>
      </c>
      <c r="D1993" t="s">
        <v>1365</v>
      </c>
      <c r="E1993" t="s">
        <v>1367</v>
      </c>
      <c r="F1993" t="s">
        <v>796</v>
      </c>
      <c r="G1993" t="str">
        <f>"00666801204"</f>
        <v>00666801204</v>
      </c>
      <c r="I1993" t="s">
        <v>1466</v>
      </c>
      <c r="L1993" t="s">
        <v>41</v>
      </c>
      <c r="M1993">
        <v>5455</v>
      </c>
      <c r="AG1993">
        <v>5025</v>
      </c>
      <c r="AH1993" s="1">
        <v>41275</v>
      </c>
      <c r="AI1993" s="1">
        <v>41285</v>
      </c>
      <c r="AJ1993" s="1">
        <v>41275</v>
      </c>
    </row>
    <row r="1994" spans="1:36" ht="15">
      <c r="A1994" t="str">
        <f>"5321651D51"</f>
        <v>5321651D51</v>
      </c>
      <c r="B1994" t="str">
        <f t="shared" si="76"/>
        <v>02406911202</v>
      </c>
      <c r="C1994" t="s">
        <v>13</v>
      </c>
      <c r="D1994" t="s">
        <v>1365</v>
      </c>
      <c r="E1994" t="s">
        <v>1367</v>
      </c>
      <c r="F1994" t="s">
        <v>796</v>
      </c>
      <c r="G1994" t="str">
        <f>"02848620163"</f>
        <v>02848620163</v>
      </c>
      <c r="I1994" t="s">
        <v>1407</v>
      </c>
      <c r="L1994" t="s">
        <v>41</v>
      </c>
      <c r="M1994">
        <v>5127</v>
      </c>
      <c r="AG1994">
        <v>5127</v>
      </c>
      <c r="AH1994" s="1">
        <v>41428</v>
      </c>
      <c r="AI1994" s="1">
        <v>41582</v>
      </c>
      <c r="AJ1994" s="1">
        <v>41428</v>
      </c>
    </row>
    <row r="1995" spans="1:36" ht="15">
      <c r="A1995" t="str">
        <f>"5321673F78"</f>
        <v>5321673F78</v>
      </c>
      <c r="B1995" t="str">
        <f t="shared" si="76"/>
        <v>02406911202</v>
      </c>
      <c r="C1995" t="s">
        <v>13</v>
      </c>
      <c r="D1995" t="s">
        <v>1365</v>
      </c>
      <c r="E1995" t="s">
        <v>1367</v>
      </c>
      <c r="F1995" t="s">
        <v>796</v>
      </c>
      <c r="G1995" t="str">
        <f>"03782160240"</f>
        <v>03782160240</v>
      </c>
      <c r="I1995" t="s">
        <v>1467</v>
      </c>
      <c r="L1995" t="s">
        <v>41</v>
      </c>
      <c r="M1995">
        <v>1025</v>
      </c>
      <c r="AG1995">
        <v>1025</v>
      </c>
      <c r="AH1995" s="1">
        <v>41453</v>
      </c>
      <c r="AI1995" s="1">
        <v>41463</v>
      </c>
      <c r="AJ1995" s="1">
        <v>41453</v>
      </c>
    </row>
    <row r="1996" spans="1:36" ht="15">
      <c r="A1996" t="str">
        <f>"532205283D"</f>
        <v>532205283D</v>
      </c>
      <c r="B1996" t="str">
        <f t="shared" si="76"/>
        <v>02406911202</v>
      </c>
      <c r="C1996" t="s">
        <v>13</v>
      </c>
      <c r="D1996" t="s">
        <v>1365</v>
      </c>
      <c r="E1996" t="s">
        <v>1367</v>
      </c>
      <c r="F1996" t="s">
        <v>796</v>
      </c>
      <c r="G1996" t="str">
        <f>"02006400960"</f>
        <v>02006400960</v>
      </c>
      <c r="I1996" t="s">
        <v>482</v>
      </c>
      <c r="L1996" t="s">
        <v>41</v>
      </c>
      <c r="M1996">
        <v>159.46</v>
      </c>
      <c r="AG1996">
        <v>0</v>
      </c>
      <c r="AH1996" s="1">
        <v>41514</v>
      </c>
      <c r="AI1996" s="1">
        <v>41524</v>
      </c>
      <c r="AJ1996" s="1">
        <v>41514</v>
      </c>
    </row>
    <row r="1997" spans="1:36" ht="15">
      <c r="A1997" t="str">
        <f>"53224608EE"</f>
        <v>53224608EE</v>
      </c>
      <c r="B1997" t="str">
        <f t="shared" si="76"/>
        <v>02406911202</v>
      </c>
      <c r="C1997" t="s">
        <v>13</v>
      </c>
      <c r="D1997" t="s">
        <v>1365</v>
      </c>
      <c r="E1997" t="s">
        <v>1367</v>
      </c>
      <c r="F1997" t="s">
        <v>796</v>
      </c>
      <c r="G1997" t="str">
        <f>"03823620236"</f>
        <v>03823620236</v>
      </c>
      <c r="I1997" t="s">
        <v>1468</v>
      </c>
      <c r="L1997" t="s">
        <v>41</v>
      </c>
      <c r="M1997">
        <v>900</v>
      </c>
      <c r="AG1997">
        <v>900</v>
      </c>
      <c r="AH1997" s="1">
        <v>41401</v>
      </c>
      <c r="AI1997" s="1">
        <v>41438</v>
      </c>
      <c r="AJ1997" s="1">
        <v>41401</v>
      </c>
    </row>
    <row r="1998" spans="1:36" ht="15">
      <c r="A1998" t="str">
        <f>"5322539A1F"</f>
        <v>5322539A1F</v>
      </c>
      <c r="B1998" t="str">
        <f t="shared" si="76"/>
        <v>02406911202</v>
      </c>
      <c r="C1998" t="s">
        <v>13</v>
      </c>
      <c r="D1998" t="s">
        <v>1365</v>
      </c>
      <c r="E1998" t="s">
        <v>1367</v>
      </c>
      <c r="F1998" t="s">
        <v>796</v>
      </c>
      <c r="G1998" t="str">
        <f>"08194550961"</f>
        <v>08194550961</v>
      </c>
      <c r="I1998" t="s">
        <v>1469</v>
      </c>
      <c r="L1998" t="s">
        <v>41</v>
      </c>
      <c r="M1998">
        <v>826</v>
      </c>
      <c r="AG1998">
        <v>826</v>
      </c>
      <c r="AH1998" s="1">
        <v>41425</v>
      </c>
      <c r="AI1998" s="1">
        <v>41435</v>
      </c>
      <c r="AJ1998" s="1">
        <v>41425</v>
      </c>
    </row>
    <row r="1999" spans="1:36" ht="15">
      <c r="A1999" t="str">
        <f>"53228624AD"</f>
        <v>53228624AD</v>
      </c>
      <c r="B1999" t="str">
        <f t="shared" si="76"/>
        <v>02406911202</v>
      </c>
      <c r="C1999" t="s">
        <v>13</v>
      </c>
      <c r="D1999" t="s">
        <v>1365</v>
      </c>
      <c r="E1999" t="s">
        <v>1367</v>
      </c>
      <c r="F1999" t="s">
        <v>796</v>
      </c>
      <c r="G1999" t="str">
        <f>"01617451206"</f>
        <v>01617451206</v>
      </c>
      <c r="I1999" t="s">
        <v>1470</v>
      </c>
      <c r="L1999" t="s">
        <v>41</v>
      </c>
      <c r="M1999">
        <v>1204</v>
      </c>
      <c r="AG1999">
        <v>965.5</v>
      </c>
      <c r="AH1999" s="1">
        <v>41275</v>
      </c>
      <c r="AI1999" s="1">
        <v>41285</v>
      </c>
      <c r="AJ1999" s="1">
        <v>41275</v>
      </c>
    </row>
    <row r="2000" spans="1:36" ht="15">
      <c r="A2000" t="str">
        <f>"532286899F"</f>
        <v>532286899F</v>
      </c>
      <c r="B2000" t="str">
        <f t="shared" si="76"/>
        <v>02406911202</v>
      </c>
      <c r="C2000" t="s">
        <v>13</v>
      </c>
      <c r="D2000" t="s">
        <v>1365</v>
      </c>
      <c r="E2000" t="s">
        <v>1367</v>
      </c>
      <c r="F2000" t="s">
        <v>796</v>
      </c>
      <c r="G2000" t="str">
        <f>"02125550349"</f>
        <v>02125550349</v>
      </c>
      <c r="I2000" t="s">
        <v>1380</v>
      </c>
      <c r="L2000" t="s">
        <v>41</v>
      </c>
      <c r="M2000">
        <v>344</v>
      </c>
      <c r="AG2000">
        <v>344</v>
      </c>
      <c r="AH2000" s="1">
        <v>41414</v>
      </c>
      <c r="AI2000" s="1">
        <v>41424</v>
      </c>
      <c r="AJ2000" s="1">
        <v>41414</v>
      </c>
    </row>
    <row r="2001" spans="1:36" ht="15">
      <c r="A2001" t="str">
        <f>"53228792B5"</f>
        <v>53228792B5</v>
      </c>
      <c r="B2001" t="str">
        <f t="shared" si="76"/>
        <v>02406911202</v>
      </c>
      <c r="C2001" t="s">
        <v>13</v>
      </c>
      <c r="D2001" t="s">
        <v>1365</v>
      </c>
      <c r="E2001" t="s">
        <v>1367</v>
      </c>
      <c r="F2001" t="s">
        <v>796</v>
      </c>
      <c r="G2001" t="str">
        <f>"01725500233"</f>
        <v>01725500233</v>
      </c>
      <c r="I2001" t="s">
        <v>1471</v>
      </c>
      <c r="L2001" t="s">
        <v>41</v>
      </c>
      <c r="M2001">
        <v>1200</v>
      </c>
      <c r="AG2001">
        <v>780.13</v>
      </c>
      <c r="AH2001" s="1">
        <v>41275</v>
      </c>
      <c r="AI2001" s="1">
        <v>41285</v>
      </c>
      <c r="AJ2001" s="1">
        <v>41275</v>
      </c>
    </row>
    <row r="2002" spans="1:36" ht="15">
      <c r="A2002" t="str">
        <f>"53298993CB"</f>
        <v>53298993CB</v>
      </c>
      <c r="B2002" t="str">
        <f t="shared" si="76"/>
        <v>02406911202</v>
      </c>
      <c r="C2002" t="s">
        <v>13</v>
      </c>
      <c r="D2002" t="s">
        <v>1365</v>
      </c>
      <c r="E2002" t="s">
        <v>1366</v>
      </c>
      <c r="F2002" t="s">
        <v>796</v>
      </c>
      <c r="G2002" t="str">
        <f>"01284691001"</f>
        <v>01284691001</v>
      </c>
      <c r="I2002" t="s">
        <v>1472</v>
      </c>
      <c r="L2002" t="s">
        <v>41</v>
      </c>
      <c r="M2002">
        <v>3100</v>
      </c>
      <c r="AG2002">
        <v>3100</v>
      </c>
      <c r="AH2002" s="1">
        <v>41575</v>
      </c>
      <c r="AI2002" s="1">
        <v>41585</v>
      </c>
      <c r="AJ2002" s="1">
        <v>41575</v>
      </c>
    </row>
    <row r="2003" spans="1:36" ht="15">
      <c r="A2003" t="str">
        <f>"532991402D"</f>
        <v>532991402D</v>
      </c>
      <c r="B2003" t="str">
        <f t="shared" si="76"/>
        <v>02406911202</v>
      </c>
      <c r="C2003" t="s">
        <v>13</v>
      </c>
      <c r="D2003" t="s">
        <v>1365</v>
      </c>
      <c r="E2003" t="s">
        <v>1366</v>
      </c>
      <c r="F2003" t="s">
        <v>796</v>
      </c>
      <c r="G2003" t="str">
        <f>"00435080304"</f>
        <v>00435080304</v>
      </c>
      <c r="I2003" t="s">
        <v>1421</v>
      </c>
      <c r="L2003" t="s">
        <v>41</v>
      </c>
      <c r="M2003">
        <v>6540</v>
      </c>
      <c r="AG2003">
        <v>6540</v>
      </c>
      <c r="AH2003" s="1">
        <v>41583</v>
      </c>
      <c r="AI2003" s="1">
        <v>41623</v>
      </c>
      <c r="AJ2003" s="1">
        <v>41583</v>
      </c>
    </row>
    <row r="2004" spans="1:36" ht="15">
      <c r="A2004" t="str">
        <f>"5338968FC1"</f>
        <v>5338968FC1</v>
      </c>
      <c r="B2004" t="str">
        <f t="shared" si="76"/>
        <v>02406911202</v>
      </c>
      <c r="C2004" t="s">
        <v>13</v>
      </c>
      <c r="D2004" t="s">
        <v>1365</v>
      </c>
      <c r="E2004" t="s">
        <v>1367</v>
      </c>
      <c r="F2004" t="s">
        <v>796</v>
      </c>
      <c r="G2004" t="str">
        <f>"11703230158"</f>
        <v>11703230158</v>
      </c>
      <c r="I2004" t="s">
        <v>1473</v>
      </c>
      <c r="L2004" t="s">
        <v>41</v>
      </c>
      <c r="M2004">
        <v>101.91</v>
      </c>
      <c r="AG2004">
        <v>101.91</v>
      </c>
      <c r="AH2004" s="1">
        <v>41540</v>
      </c>
      <c r="AI2004" s="1">
        <v>41550</v>
      </c>
      <c r="AJ2004" s="1">
        <v>41540</v>
      </c>
    </row>
    <row r="2005" spans="1:36" ht="15">
      <c r="A2005" t="str">
        <f>"53390080C8"</f>
        <v>53390080C8</v>
      </c>
      <c r="B2005" t="str">
        <f t="shared" si="76"/>
        <v>02406911202</v>
      </c>
      <c r="C2005" t="s">
        <v>13</v>
      </c>
      <c r="D2005" t="s">
        <v>1365</v>
      </c>
      <c r="E2005" t="s">
        <v>1367</v>
      </c>
      <c r="F2005" t="s">
        <v>796</v>
      </c>
      <c r="G2005" t="str">
        <f>"04488650484"</f>
        <v>04488650484</v>
      </c>
      <c r="I2005" t="s">
        <v>1406</v>
      </c>
      <c r="L2005" t="s">
        <v>41</v>
      </c>
      <c r="M2005">
        <v>5576</v>
      </c>
      <c r="AG2005">
        <v>5202.8</v>
      </c>
      <c r="AH2005" s="1">
        <v>41275</v>
      </c>
      <c r="AI2005" s="1">
        <v>41285</v>
      </c>
      <c r="AJ2005" s="1">
        <v>41275</v>
      </c>
    </row>
    <row r="2006" spans="1:36" ht="15">
      <c r="A2006" t="str">
        <f>"53390714C4"</f>
        <v>53390714C4</v>
      </c>
      <c r="B2006" t="str">
        <f t="shared" si="76"/>
        <v>02406911202</v>
      </c>
      <c r="C2006" t="s">
        <v>13</v>
      </c>
      <c r="D2006" t="s">
        <v>1365</v>
      </c>
      <c r="E2006" t="s">
        <v>1367</v>
      </c>
      <c r="F2006" t="s">
        <v>796</v>
      </c>
      <c r="G2006" t="str">
        <f>"01617451206"</f>
        <v>01617451206</v>
      </c>
      <c r="I2006" t="s">
        <v>1470</v>
      </c>
      <c r="L2006" t="s">
        <v>41</v>
      </c>
      <c r="M2006">
        <v>746</v>
      </c>
      <c r="AG2006">
        <v>746</v>
      </c>
      <c r="AH2006" s="1">
        <v>41529</v>
      </c>
      <c r="AI2006" s="1">
        <v>41539</v>
      </c>
      <c r="AJ2006" s="1">
        <v>41529</v>
      </c>
    </row>
    <row r="2007" spans="1:36" ht="15">
      <c r="A2007" t="str">
        <f>"5339098B0A"</f>
        <v>5339098B0A</v>
      </c>
      <c r="B2007" t="str">
        <f t="shared" si="76"/>
        <v>02406911202</v>
      </c>
      <c r="C2007" t="s">
        <v>13</v>
      </c>
      <c r="D2007" t="s">
        <v>1365</v>
      </c>
      <c r="E2007" t="s">
        <v>1374</v>
      </c>
      <c r="F2007" t="s">
        <v>796</v>
      </c>
      <c r="G2007" t="str">
        <f>"04647720483"</f>
        <v>04647720483</v>
      </c>
      <c r="I2007" t="s">
        <v>290</v>
      </c>
      <c r="L2007" t="s">
        <v>41</v>
      </c>
      <c r="M2007">
        <v>2494</v>
      </c>
      <c r="AG2007">
        <v>2494</v>
      </c>
      <c r="AH2007" s="1">
        <v>41499</v>
      </c>
      <c r="AI2007" s="1">
        <v>41509</v>
      </c>
      <c r="AJ2007" s="1">
        <v>41499</v>
      </c>
    </row>
    <row r="2008" spans="1:36" ht="15">
      <c r="A2008" t="str">
        <f>"53397293C4"</f>
        <v>53397293C4</v>
      </c>
      <c r="B2008" t="str">
        <f t="shared" si="76"/>
        <v>02406911202</v>
      </c>
      <c r="C2008" t="s">
        <v>13</v>
      </c>
      <c r="D2008" t="s">
        <v>1365</v>
      </c>
      <c r="E2008" t="s">
        <v>1374</v>
      </c>
      <c r="F2008" t="s">
        <v>796</v>
      </c>
      <c r="G2008" t="str">
        <f>"02404790392"</f>
        <v>02404790392</v>
      </c>
      <c r="I2008" t="s">
        <v>1451</v>
      </c>
      <c r="L2008" t="s">
        <v>41</v>
      </c>
      <c r="M2008">
        <v>2850</v>
      </c>
      <c r="AG2008">
        <v>2830</v>
      </c>
      <c r="AH2008" s="1">
        <v>41422</v>
      </c>
      <c r="AI2008" s="1">
        <v>41432</v>
      </c>
      <c r="AJ2008" s="1">
        <v>41422</v>
      </c>
    </row>
    <row r="2009" spans="1:36" ht="15">
      <c r="A2009" t="str">
        <f>"5339758BB0"</f>
        <v>5339758BB0</v>
      </c>
      <c r="B2009" t="str">
        <f t="shared" si="76"/>
        <v>02406911202</v>
      </c>
      <c r="C2009" t="s">
        <v>13</v>
      </c>
      <c r="D2009" t="s">
        <v>1365</v>
      </c>
      <c r="E2009" t="s">
        <v>1374</v>
      </c>
      <c r="F2009" t="s">
        <v>796</v>
      </c>
      <c r="G2009" t="str">
        <f>"03281501217"</f>
        <v>03281501217</v>
      </c>
      <c r="I2009" t="s">
        <v>497</v>
      </c>
      <c r="L2009" t="s">
        <v>41</v>
      </c>
      <c r="M2009">
        <v>2340</v>
      </c>
      <c r="AG2009">
        <v>2340</v>
      </c>
      <c r="AH2009" s="1">
        <v>41471</v>
      </c>
      <c r="AI2009" s="1">
        <v>41490</v>
      </c>
      <c r="AJ2009" s="1">
        <v>41471</v>
      </c>
    </row>
    <row r="2010" spans="1:36" ht="15">
      <c r="A2010" t="str">
        <f>"53397862CE"</f>
        <v>53397862CE</v>
      </c>
      <c r="B2010" t="str">
        <f t="shared" si="76"/>
        <v>02406911202</v>
      </c>
      <c r="C2010" t="s">
        <v>13</v>
      </c>
      <c r="D2010" t="s">
        <v>1365</v>
      </c>
      <c r="E2010" t="s">
        <v>1374</v>
      </c>
      <c r="F2010" t="s">
        <v>796</v>
      </c>
      <c r="G2010" t="str">
        <f>"01625451206"</f>
        <v>01625451206</v>
      </c>
      <c r="I2010" t="s">
        <v>1474</v>
      </c>
      <c r="L2010" t="s">
        <v>41</v>
      </c>
      <c r="M2010">
        <v>160</v>
      </c>
      <c r="AG2010">
        <v>160</v>
      </c>
      <c r="AH2010" s="1">
        <v>41453</v>
      </c>
      <c r="AI2010" s="1">
        <v>41463</v>
      </c>
      <c r="AJ2010" s="1">
        <v>41453</v>
      </c>
    </row>
    <row r="2011" spans="1:36" ht="15">
      <c r="A2011" t="str">
        <f>"53398675A5"</f>
        <v>53398675A5</v>
      </c>
      <c r="B2011" t="str">
        <f t="shared" si="76"/>
        <v>02406911202</v>
      </c>
      <c r="C2011" t="s">
        <v>13</v>
      </c>
      <c r="D2011" t="s">
        <v>1365</v>
      </c>
      <c r="E2011" t="s">
        <v>1374</v>
      </c>
      <c r="F2011" t="s">
        <v>796</v>
      </c>
      <c r="G2011" t="str">
        <f>"01572640181"</f>
        <v>01572640181</v>
      </c>
      <c r="I2011" t="s">
        <v>1438</v>
      </c>
      <c r="L2011" t="s">
        <v>41</v>
      </c>
      <c r="M2011">
        <v>1370</v>
      </c>
      <c r="AG2011">
        <v>1370</v>
      </c>
      <c r="AH2011" s="1">
        <v>41372</v>
      </c>
      <c r="AI2011" s="1">
        <v>41382</v>
      </c>
      <c r="AJ2011" s="1">
        <v>41372</v>
      </c>
    </row>
    <row r="2012" spans="1:36" ht="15">
      <c r="A2012" t="str">
        <f>"5339913B99"</f>
        <v>5339913B99</v>
      </c>
      <c r="B2012" t="str">
        <f t="shared" si="76"/>
        <v>02406911202</v>
      </c>
      <c r="C2012" t="s">
        <v>13</v>
      </c>
      <c r="D2012" t="s">
        <v>1365</v>
      </c>
      <c r="E2012" t="s">
        <v>1376</v>
      </c>
      <c r="F2012" t="s">
        <v>796</v>
      </c>
      <c r="G2012" t="str">
        <f>"08126390155"</f>
        <v>08126390155</v>
      </c>
      <c r="I2012" t="s">
        <v>1026</v>
      </c>
      <c r="L2012" t="s">
        <v>41</v>
      </c>
      <c r="M2012">
        <v>1250</v>
      </c>
      <c r="AG2012">
        <v>1250</v>
      </c>
      <c r="AH2012" s="1">
        <v>41401</v>
      </c>
      <c r="AI2012" s="1">
        <v>41411</v>
      </c>
      <c r="AJ2012" s="1">
        <v>41401</v>
      </c>
    </row>
    <row r="2013" spans="1:36" ht="15">
      <c r="A2013" t="str">
        <f>"5339933C1A"</f>
        <v>5339933C1A</v>
      </c>
      <c r="B2013" t="str">
        <f t="shared" si="76"/>
        <v>02406911202</v>
      </c>
      <c r="C2013" t="s">
        <v>13</v>
      </c>
      <c r="D2013" t="s">
        <v>1365</v>
      </c>
      <c r="E2013" t="s">
        <v>1376</v>
      </c>
      <c r="F2013" t="s">
        <v>796</v>
      </c>
      <c r="G2013" t="str">
        <f>"09238800156"</f>
        <v>09238800156</v>
      </c>
      <c r="I2013" t="s">
        <v>257</v>
      </c>
      <c r="L2013" t="s">
        <v>41</v>
      </c>
      <c r="M2013">
        <v>1643.74</v>
      </c>
      <c r="AG2013">
        <v>1643.74</v>
      </c>
      <c r="AH2013" s="1">
        <v>41401</v>
      </c>
      <c r="AI2013" s="1">
        <v>41411</v>
      </c>
      <c r="AJ2013" s="1">
        <v>41401</v>
      </c>
    </row>
    <row r="2014" spans="1:36" ht="15">
      <c r="A2014" t="str">
        <f>"53399499AF"</f>
        <v>53399499AF</v>
      </c>
      <c r="B2014" t="str">
        <f t="shared" si="76"/>
        <v>02406911202</v>
      </c>
      <c r="C2014" t="s">
        <v>13</v>
      </c>
      <c r="D2014" t="s">
        <v>1365</v>
      </c>
      <c r="E2014" t="s">
        <v>1367</v>
      </c>
      <c r="F2014" t="s">
        <v>796</v>
      </c>
      <c r="G2014" t="str">
        <f>"04311220265"</f>
        <v>04311220265</v>
      </c>
      <c r="I2014" t="s">
        <v>1475</v>
      </c>
      <c r="L2014" t="s">
        <v>41</v>
      </c>
      <c r="M2014">
        <v>2425</v>
      </c>
      <c r="AG2014">
        <v>2424.71</v>
      </c>
      <c r="AH2014" s="1">
        <v>41540</v>
      </c>
      <c r="AI2014" s="1">
        <v>41574</v>
      </c>
      <c r="AJ2014" s="1">
        <v>41540</v>
      </c>
    </row>
    <row r="2015" spans="1:36" ht="15">
      <c r="A2015" t="str">
        <f>"53399580BF"</f>
        <v>53399580BF</v>
      </c>
      <c r="B2015" t="str">
        <f t="shared" si="76"/>
        <v>02406911202</v>
      </c>
      <c r="C2015" t="s">
        <v>13</v>
      </c>
      <c r="D2015" t="s">
        <v>1365</v>
      </c>
      <c r="E2015" t="s">
        <v>1376</v>
      </c>
      <c r="F2015" t="s">
        <v>796</v>
      </c>
      <c r="G2015" t="str">
        <f>"01584121204"</f>
        <v>01584121204</v>
      </c>
      <c r="I2015" t="s">
        <v>1412</v>
      </c>
      <c r="L2015" t="s">
        <v>41</v>
      </c>
      <c r="M2015">
        <v>204.41</v>
      </c>
      <c r="AG2015">
        <v>204.41</v>
      </c>
      <c r="AH2015" s="1">
        <v>41505</v>
      </c>
      <c r="AI2015" s="1">
        <v>41515</v>
      </c>
      <c r="AJ2015" s="1">
        <v>41505</v>
      </c>
    </row>
    <row r="2016" spans="1:36" ht="15">
      <c r="A2016" t="str">
        <f>"5340867EDC"</f>
        <v>5340867EDC</v>
      </c>
      <c r="B2016" t="str">
        <f t="shared" si="76"/>
        <v>02406911202</v>
      </c>
      <c r="C2016" t="s">
        <v>13</v>
      </c>
      <c r="D2016" t="s">
        <v>1365</v>
      </c>
      <c r="E2016" t="s">
        <v>1367</v>
      </c>
      <c r="F2016" t="s">
        <v>796</v>
      </c>
      <c r="G2016" t="str">
        <f>"05131180969"</f>
        <v>05131180969</v>
      </c>
      <c r="I2016" t="s">
        <v>516</v>
      </c>
      <c r="L2016" t="s">
        <v>41</v>
      </c>
      <c r="M2016">
        <v>9000</v>
      </c>
      <c r="AG2016">
        <v>9000</v>
      </c>
      <c r="AH2016" s="1">
        <v>41520</v>
      </c>
      <c r="AI2016" s="1">
        <v>41530</v>
      </c>
      <c r="AJ2016" s="1">
        <v>41520</v>
      </c>
    </row>
    <row r="2017" spans="1:36" ht="15">
      <c r="A2017" t="str">
        <f>"5340979B4A"</f>
        <v>5340979B4A</v>
      </c>
      <c r="B2017" t="str">
        <f t="shared" si="76"/>
        <v>02406911202</v>
      </c>
      <c r="C2017" t="s">
        <v>13</v>
      </c>
      <c r="D2017" t="s">
        <v>1365</v>
      </c>
      <c r="E2017" t="s">
        <v>1367</v>
      </c>
      <c r="F2017" t="s">
        <v>796</v>
      </c>
      <c r="G2017" t="str">
        <f>"05131180969"</f>
        <v>05131180969</v>
      </c>
      <c r="I2017" t="s">
        <v>516</v>
      </c>
      <c r="L2017" t="s">
        <v>41</v>
      </c>
      <c r="M2017">
        <v>9982.5</v>
      </c>
      <c r="AG2017">
        <v>8092.5</v>
      </c>
      <c r="AH2017" s="1">
        <v>41488</v>
      </c>
      <c r="AI2017" s="1">
        <v>41642</v>
      </c>
      <c r="AJ2017" s="1">
        <v>41488</v>
      </c>
    </row>
    <row r="2018" spans="1:36" ht="15">
      <c r="A2018" t="str">
        <f>"5341195D89"</f>
        <v>5341195D89</v>
      </c>
      <c r="B2018" t="str">
        <f t="shared" si="76"/>
        <v>02406911202</v>
      </c>
      <c r="C2018" t="s">
        <v>13</v>
      </c>
      <c r="D2018" t="s">
        <v>1365</v>
      </c>
      <c r="E2018" t="s">
        <v>1367</v>
      </c>
      <c r="F2018" t="s">
        <v>796</v>
      </c>
      <c r="G2018" t="str">
        <f>"11159150157"</f>
        <v>11159150157</v>
      </c>
      <c r="I2018" t="s">
        <v>321</v>
      </c>
      <c r="L2018" t="s">
        <v>41</v>
      </c>
      <c r="M2018">
        <v>16099.66</v>
      </c>
      <c r="AG2018">
        <v>9254.99</v>
      </c>
      <c r="AH2018" s="1">
        <v>41534</v>
      </c>
      <c r="AI2018" s="1">
        <v>41553</v>
      </c>
      <c r="AJ2018" s="1">
        <v>41534</v>
      </c>
    </row>
    <row r="2019" spans="1:36" ht="15">
      <c r="A2019" t="str">
        <f>"534957943E"</f>
        <v>534957943E</v>
      </c>
      <c r="B2019" t="str">
        <f t="shared" si="76"/>
        <v>02406911202</v>
      </c>
      <c r="C2019" t="s">
        <v>13</v>
      </c>
      <c r="D2019" t="s">
        <v>1365</v>
      </c>
      <c r="E2019" t="s">
        <v>1390</v>
      </c>
      <c r="F2019" t="s">
        <v>796</v>
      </c>
      <c r="G2019" t="str">
        <f>"02236190233"</f>
        <v>02236190233</v>
      </c>
      <c r="I2019" t="s">
        <v>1476</v>
      </c>
      <c r="L2019" t="s">
        <v>41</v>
      </c>
      <c r="M2019">
        <v>3800</v>
      </c>
      <c r="AG2019">
        <v>3800</v>
      </c>
      <c r="AH2019" s="1">
        <v>41554</v>
      </c>
      <c r="AI2019" s="1">
        <v>41564</v>
      </c>
      <c r="AJ2019" s="1">
        <v>41554</v>
      </c>
    </row>
    <row r="2020" spans="1:36" ht="15">
      <c r="A2020" t="str">
        <f>"538182567B"</f>
        <v>538182567B</v>
      </c>
      <c r="B2020" t="str">
        <f t="shared" si="76"/>
        <v>02406911202</v>
      </c>
      <c r="C2020" t="s">
        <v>13</v>
      </c>
      <c r="D2020" t="s">
        <v>1365</v>
      </c>
      <c r="E2020" t="s">
        <v>1368</v>
      </c>
      <c r="F2020" t="s">
        <v>796</v>
      </c>
      <c r="G2020" t="str">
        <f>"03240440366"</f>
        <v>03240440366</v>
      </c>
      <c r="I2020" t="s">
        <v>1477</v>
      </c>
      <c r="L2020" t="s">
        <v>41</v>
      </c>
      <c r="M2020">
        <v>5780</v>
      </c>
      <c r="AG2020">
        <v>5780</v>
      </c>
      <c r="AH2020" s="1">
        <v>41564</v>
      </c>
      <c r="AI2020" s="1">
        <v>41574</v>
      </c>
      <c r="AJ2020" s="1">
        <v>41564</v>
      </c>
    </row>
    <row r="2021" spans="1:36" ht="15">
      <c r="A2021" t="str">
        <f>"53865777F4"</f>
        <v>53865777F4</v>
      </c>
      <c r="B2021" t="str">
        <f t="shared" si="76"/>
        <v>02406911202</v>
      </c>
      <c r="C2021" t="s">
        <v>13</v>
      </c>
      <c r="D2021" t="s">
        <v>1365</v>
      </c>
      <c r="E2021" t="s">
        <v>1390</v>
      </c>
      <c r="F2021" t="s">
        <v>796</v>
      </c>
      <c r="G2021" t="str">
        <f>"07057740156"</f>
        <v>07057740156</v>
      </c>
      <c r="I2021" t="s">
        <v>1393</v>
      </c>
      <c r="L2021" t="s">
        <v>41</v>
      </c>
      <c r="M2021">
        <v>7582</v>
      </c>
      <c r="AG2021">
        <v>7582</v>
      </c>
      <c r="AH2021" s="1">
        <v>41570</v>
      </c>
      <c r="AI2021" s="1">
        <v>41580</v>
      </c>
      <c r="AJ2021" s="1">
        <v>41570</v>
      </c>
    </row>
    <row r="2022" spans="1:36" ht="15">
      <c r="A2022" t="str">
        <f>"5387769F9D"</f>
        <v>5387769F9D</v>
      </c>
      <c r="B2022" t="str">
        <f t="shared" si="76"/>
        <v>02406911202</v>
      </c>
      <c r="C2022" t="s">
        <v>13</v>
      </c>
      <c r="D2022" t="s">
        <v>1365</v>
      </c>
      <c r="E2022" t="s">
        <v>1368</v>
      </c>
      <c r="F2022" t="s">
        <v>796</v>
      </c>
      <c r="G2022" t="str">
        <f>"05757840961"</f>
        <v>05757840961</v>
      </c>
      <c r="I2022" t="s">
        <v>1478</v>
      </c>
      <c r="L2022" t="s">
        <v>41</v>
      </c>
      <c r="M2022">
        <v>2400</v>
      </c>
      <c r="AG2022">
        <v>2400</v>
      </c>
      <c r="AH2022" s="1">
        <v>41568</v>
      </c>
      <c r="AI2022" s="1">
        <v>41578</v>
      </c>
      <c r="AJ2022" s="1">
        <v>41568</v>
      </c>
    </row>
    <row r="2023" spans="1:36" ht="15">
      <c r="A2023" t="str">
        <f>"53882268C0"</f>
        <v>53882268C0</v>
      </c>
      <c r="B2023" t="str">
        <f t="shared" si="76"/>
        <v>02406911202</v>
      </c>
      <c r="C2023" t="s">
        <v>13</v>
      </c>
      <c r="D2023" t="s">
        <v>1365</v>
      </c>
      <c r="E2023" t="s">
        <v>1368</v>
      </c>
      <c r="F2023" t="s">
        <v>796</v>
      </c>
      <c r="G2023" t="str">
        <f>"01216490456"</f>
        <v>01216490456</v>
      </c>
      <c r="I2023" t="s">
        <v>1479</v>
      </c>
      <c r="L2023" t="s">
        <v>41</v>
      </c>
      <c r="M2023">
        <v>14940</v>
      </c>
      <c r="AG2023">
        <v>14940</v>
      </c>
      <c r="AH2023" s="1">
        <v>41582</v>
      </c>
      <c r="AI2023" s="1">
        <v>41592</v>
      </c>
      <c r="AJ2023" s="1">
        <v>41582</v>
      </c>
    </row>
    <row r="2024" spans="1:36" ht="15">
      <c r="A2024" t="str">
        <f>"5409561EF1"</f>
        <v>5409561EF1</v>
      </c>
      <c r="B2024" t="str">
        <f t="shared" si="76"/>
        <v>02406911202</v>
      </c>
      <c r="C2024" t="s">
        <v>13</v>
      </c>
      <c r="D2024" t="s">
        <v>1365</v>
      </c>
      <c r="E2024" t="s">
        <v>1368</v>
      </c>
      <c r="F2024" t="s">
        <v>796</v>
      </c>
      <c r="G2024" t="str">
        <f>"11954900152"</f>
        <v>11954900152</v>
      </c>
      <c r="I2024" t="s">
        <v>1419</v>
      </c>
      <c r="L2024" t="s">
        <v>41</v>
      </c>
      <c r="M2024">
        <v>8950</v>
      </c>
      <c r="AG2024">
        <v>8950</v>
      </c>
      <c r="AH2024" s="1">
        <v>41589</v>
      </c>
      <c r="AI2024" s="1">
        <v>41599</v>
      </c>
      <c r="AJ2024" s="1">
        <v>41589</v>
      </c>
    </row>
    <row r="2025" spans="1:36" ht="15">
      <c r="A2025" t="str">
        <f>"5409734DB5"</f>
        <v>5409734DB5</v>
      </c>
      <c r="B2025" t="str">
        <f t="shared" si="76"/>
        <v>02406911202</v>
      </c>
      <c r="C2025" t="s">
        <v>13</v>
      </c>
      <c r="D2025" t="s">
        <v>1365</v>
      </c>
      <c r="E2025" t="s">
        <v>1368</v>
      </c>
      <c r="F2025" t="s">
        <v>796</v>
      </c>
      <c r="G2025" t="str">
        <f>"01847901202"</f>
        <v>01847901202</v>
      </c>
      <c r="I2025" t="s">
        <v>340</v>
      </c>
      <c r="L2025" t="s">
        <v>41</v>
      </c>
      <c r="M2025">
        <v>19800</v>
      </c>
      <c r="AG2025">
        <v>19800</v>
      </c>
      <c r="AH2025" s="1">
        <v>41583</v>
      </c>
      <c r="AI2025" s="1">
        <v>41593</v>
      </c>
      <c r="AJ2025" s="1">
        <v>41583</v>
      </c>
    </row>
    <row r="2026" spans="1:36" ht="15">
      <c r="A2026" t="str">
        <f>"5409771C3E"</f>
        <v>5409771C3E</v>
      </c>
      <c r="B2026" t="str">
        <f t="shared" si="76"/>
        <v>02406911202</v>
      </c>
      <c r="C2026" t="s">
        <v>13</v>
      </c>
      <c r="D2026" t="s">
        <v>1365</v>
      </c>
      <c r="E2026" t="s">
        <v>1368</v>
      </c>
      <c r="F2026" t="s">
        <v>796</v>
      </c>
      <c r="G2026" t="str">
        <f>"01900221209"</f>
        <v>01900221209</v>
      </c>
      <c r="I2026" t="s">
        <v>1402</v>
      </c>
      <c r="L2026" t="s">
        <v>41</v>
      </c>
      <c r="M2026">
        <v>19990</v>
      </c>
      <c r="AG2026">
        <v>19990</v>
      </c>
      <c r="AH2026" s="1">
        <v>41604</v>
      </c>
      <c r="AI2026" s="1">
        <v>41614</v>
      </c>
      <c r="AJ2026" s="1">
        <v>41604</v>
      </c>
    </row>
    <row r="2027" spans="1:36" ht="15">
      <c r="A2027" t="str">
        <f>"54132925DF"</f>
        <v>54132925DF</v>
      </c>
      <c r="B2027" t="str">
        <f t="shared" si="76"/>
        <v>02406911202</v>
      </c>
      <c r="C2027" t="s">
        <v>13</v>
      </c>
      <c r="D2027" t="s">
        <v>1365</v>
      </c>
      <c r="E2027" t="s">
        <v>1390</v>
      </c>
      <c r="F2027" t="s">
        <v>796</v>
      </c>
      <c r="G2027" t="str">
        <f>"05131180969"</f>
        <v>05131180969</v>
      </c>
      <c r="I2027" t="s">
        <v>516</v>
      </c>
      <c r="L2027" t="s">
        <v>41</v>
      </c>
      <c r="M2027">
        <v>2665</v>
      </c>
      <c r="AG2027">
        <v>2665</v>
      </c>
      <c r="AH2027" s="1">
        <v>41584</v>
      </c>
      <c r="AI2027" s="1">
        <v>41594</v>
      </c>
      <c r="AJ2027" s="1">
        <v>41584</v>
      </c>
    </row>
    <row r="2028" spans="1:36" ht="15">
      <c r="A2028" t="str">
        <f>"5417841FD0"</f>
        <v>5417841FD0</v>
      </c>
      <c r="B2028" t="str">
        <f t="shared" si="76"/>
        <v>02406911202</v>
      </c>
      <c r="C2028" t="s">
        <v>13</v>
      </c>
      <c r="D2028" t="s">
        <v>1365</v>
      </c>
      <c r="E2028" t="s">
        <v>1367</v>
      </c>
      <c r="F2028" t="s">
        <v>796</v>
      </c>
      <c r="G2028" t="str">
        <f>"06032681006"</f>
        <v>06032681006</v>
      </c>
      <c r="I2028" t="s">
        <v>342</v>
      </c>
      <c r="L2028" t="s">
        <v>41</v>
      </c>
      <c r="M2028">
        <v>12555</v>
      </c>
      <c r="AG2028">
        <v>10695</v>
      </c>
      <c r="AH2028" s="1">
        <v>41571</v>
      </c>
      <c r="AI2028" s="1">
        <v>41627</v>
      </c>
      <c r="AJ2028" s="1">
        <v>41571</v>
      </c>
    </row>
    <row r="2029" spans="1:36" ht="15">
      <c r="A2029" t="str">
        <f>"5420338C68"</f>
        <v>5420338C68</v>
      </c>
      <c r="B2029" t="str">
        <f t="shared" si="76"/>
        <v>02406911202</v>
      </c>
      <c r="C2029" t="s">
        <v>13</v>
      </c>
      <c r="D2029" t="s">
        <v>1365</v>
      </c>
      <c r="E2029" t="s">
        <v>1390</v>
      </c>
      <c r="F2029" t="s">
        <v>796</v>
      </c>
      <c r="G2029" t="str">
        <f>"07057740156"</f>
        <v>07057740156</v>
      </c>
      <c r="I2029" t="s">
        <v>1393</v>
      </c>
      <c r="L2029" t="s">
        <v>41</v>
      </c>
      <c r="M2029">
        <v>1750</v>
      </c>
      <c r="AG2029">
        <v>1750</v>
      </c>
      <c r="AH2029" s="1">
        <v>41586</v>
      </c>
      <c r="AI2029" s="1">
        <v>41596</v>
      </c>
      <c r="AJ2029" s="1">
        <v>41586</v>
      </c>
    </row>
    <row r="2030" spans="1:36" ht="15">
      <c r="A2030" t="str">
        <f>"54231003B1"</f>
        <v>54231003B1</v>
      </c>
      <c r="B2030" t="str">
        <f t="shared" si="76"/>
        <v>02406911202</v>
      </c>
      <c r="C2030" t="s">
        <v>13</v>
      </c>
      <c r="D2030" t="s">
        <v>1365</v>
      </c>
      <c r="E2030" t="s">
        <v>1390</v>
      </c>
      <c r="F2030" t="s">
        <v>796</v>
      </c>
      <c r="G2030" t="str">
        <f>"00435080304"</f>
        <v>00435080304</v>
      </c>
      <c r="I2030" t="s">
        <v>1421</v>
      </c>
      <c r="L2030" t="s">
        <v>41</v>
      </c>
      <c r="M2030">
        <v>1320</v>
      </c>
      <c r="AG2030">
        <v>1320</v>
      </c>
      <c r="AH2030" s="1">
        <v>41586</v>
      </c>
      <c r="AI2030" s="1">
        <v>41596</v>
      </c>
      <c r="AJ2030" s="1">
        <v>41586</v>
      </c>
    </row>
    <row r="2031" spans="1:36" ht="15">
      <c r="A2031" t="str">
        <f>"5431237E8B"</f>
        <v>5431237E8B</v>
      </c>
      <c r="B2031" t="str">
        <f t="shared" si="76"/>
        <v>02406911202</v>
      </c>
      <c r="C2031" t="s">
        <v>13</v>
      </c>
      <c r="D2031" t="s">
        <v>1365</v>
      </c>
      <c r="E2031" t="s">
        <v>1366</v>
      </c>
      <c r="F2031" t="s">
        <v>796</v>
      </c>
      <c r="G2031" t="str">
        <f>"02027571203"</f>
        <v>02027571203</v>
      </c>
      <c r="I2031" t="s">
        <v>1399</v>
      </c>
      <c r="L2031" t="s">
        <v>41</v>
      </c>
      <c r="M2031">
        <v>2900</v>
      </c>
      <c r="AG2031">
        <v>2900</v>
      </c>
      <c r="AH2031" s="1">
        <v>41604</v>
      </c>
      <c r="AI2031" s="1">
        <v>41614</v>
      </c>
      <c r="AJ2031" s="1">
        <v>41604</v>
      </c>
    </row>
    <row r="2032" spans="1:36" ht="15">
      <c r="A2032" t="str">
        <f>"5438255DFB"</f>
        <v>5438255DFB</v>
      </c>
      <c r="B2032" t="str">
        <f t="shared" si="76"/>
        <v>02406911202</v>
      </c>
      <c r="C2032" t="s">
        <v>13</v>
      </c>
      <c r="D2032" t="s">
        <v>1365</v>
      </c>
      <c r="E2032" t="s">
        <v>1368</v>
      </c>
      <c r="F2032" t="s">
        <v>796</v>
      </c>
      <c r="G2032" t="str">
        <f>"06032681006"</f>
        <v>06032681006</v>
      </c>
      <c r="I2032" t="s">
        <v>342</v>
      </c>
      <c r="L2032" t="s">
        <v>41</v>
      </c>
      <c r="M2032">
        <v>3735</v>
      </c>
      <c r="AG2032">
        <v>3735</v>
      </c>
      <c r="AH2032" s="1">
        <v>41593</v>
      </c>
      <c r="AI2032" s="1">
        <v>41603</v>
      </c>
      <c r="AJ2032" s="1">
        <v>41593</v>
      </c>
    </row>
    <row r="2033" spans="1:36" ht="15">
      <c r="A2033" t="str">
        <f>"54473016FC"</f>
        <v>54473016FC</v>
      </c>
      <c r="B2033" t="str">
        <f t="shared" si="76"/>
        <v>02406911202</v>
      </c>
      <c r="C2033" t="s">
        <v>13</v>
      </c>
      <c r="D2033" t="s">
        <v>1365</v>
      </c>
      <c r="E2033" t="s">
        <v>1368</v>
      </c>
      <c r="F2033" t="s">
        <v>796</v>
      </c>
      <c r="G2033" t="str">
        <f>"04156880371"</f>
        <v>04156880371</v>
      </c>
      <c r="I2033" t="s">
        <v>320</v>
      </c>
      <c r="L2033" t="s">
        <v>41</v>
      </c>
      <c r="M2033">
        <v>13465.98</v>
      </c>
      <c r="AG2033">
        <v>13466.13</v>
      </c>
      <c r="AH2033" s="1">
        <v>41621</v>
      </c>
      <c r="AI2033" s="1">
        <v>41631</v>
      </c>
      <c r="AJ2033" s="1">
        <v>41621</v>
      </c>
    </row>
    <row r="2034" spans="1:36" ht="15">
      <c r="A2034" t="str">
        <f>"5462273A44"</f>
        <v>5462273A44</v>
      </c>
      <c r="B2034" t="str">
        <f t="shared" si="76"/>
        <v>02406911202</v>
      </c>
      <c r="C2034" t="s">
        <v>13</v>
      </c>
      <c r="D2034" t="s">
        <v>1365</v>
      </c>
      <c r="E2034" t="s">
        <v>1368</v>
      </c>
      <c r="F2034" t="s">
        <v>796</v>
      </c>
      <c r="G2034" t="str">
        <f>"01284691001"</f>
        <v>01284691001</v>
      </c>
      <c r="I2034" t="s">
        <v>1472</v>
      </c>
      <c r="L2034" t="s">
        <v>41</v>
      </c>
      <c r="M2034">
        <v>1080</v>
      </c>
      <c r="AG2034">
        <v>1080</v>
      </c>
      <c r="AH2034" s="1">
        <v>41605</v>
      </c>
      <c r="AI2034" s="1">
        <v>41615</v>
      </c>
      <c r="AJ2034" s="1">
        <v>41605</v>
      </c>
    </row>
    <row r="2035" spans="1:36" ht="15">
      <c r="A2035" t="str">
        <f>"5462992B9A"</f>
        <v>5462992B9A</v>
      </c>
      <c r="B2035" t="str">
        <f t="shared" si="76"/>
        <v>02406911202</v>
      </c>
      <c r="C2035" t="s">
        <v>13</v>
      </c>
      <c r="D2035" t="s">
        <v>1365</v>
      </c>
      <c r="E2035" t="s">
        <v>1368</v>
      </c>
      <c r="F2035" t="s">
        <v>796</v>
      </c>
      <c r="G2035" t="str">
        <f>"10767630154"</f>
        <v>10767630154</v>
      </c>
      <c r="I2035" t="s">
        <v>1020</v>
      </c>
      <c r="L2035" t="s">
        <v>41</v>
      </c>
      <c r="M2035">
        <v>5211.75</v>
      </c>
      <c r="AG2035">
        <v>5211.75</v>
      </c>
      <c r="AH2035" s="1">
        <v>41605</v>
      </c>
      <c r="AI2035" s="1">
        <v>41615</v>
      </c>
      <c r="AJ2035" s="1">
        <v>41605</v>
      </c>
    </row>
    <row r="2036" spans="1:36" ht="15">
      <c r="A2036" t="str">
        <f>"5474688F71"</f>
        <v>5474688F71</v>
      </c>
      <c r="B2036" t="str">
        <f t="shared" si="76"/>
        <v>02406911202</v>
      </c>
      <c r="C2036" t="s">
        <v>13</v>
      </c>
      <c r="D2036" t="s">
        <v>1365</v>
      </c>
      <c r="E2036" t="s">
        <v>1368</v>
      </c>
      <c r="F2036" t="s">
        <v>796</v>
      </c>
      <c r="G2036" t="str">
        <f>"01900221209"</f>
        <v>01900221209</v>
      </c>
      <c r="I2036" t="s">
        <v>1402</v>
      </c>
      <c r="L2036" t="s">
        <v>41</v>
      </c>
      <c r="M2036">
        <v>8990</v>
      </c>
      <c r="AG2036">
        <v>8990</v>
      </c>
      <c r="AH2036" s="1">
        <v>41625</v>
      </c>
      <c r="AI2036" s="1">
        <v>41635</v>
      </c>
      <c r="AJ2036" s="1">
        <v>41625</v>
      </c>
    </row>
    <row r="2037" spans="1:36" ht="15">
      <c r="A2037" t="str">
        <f>"550284100D"</f>
        <v>550284100D</v>
      </c>
      <c r="B2037" t="str">
        <f t="shared" si="76"/>
        <v>02406911202</v>
      </c>
      <c r="C2037" t="s">
        <v>13</v>
      </c>
      <c r="D2037" t="s">
        <v>1365</v>
      </c>
      <c r="E2037" t="s">
        <v>1390</v>
      </c>
      <c r="F2037" t="s">
        <v>796</v>
      </c>
      <c r="G2037" t="str">
        <f>"01121130197"</f>
        <v>01121130197</v>
      </c>
      <c r="I2037" t="s">
        <v>1210</v>
      </c>
      <c r="L2037" t="s">
        <v>41</v>
      </c>
      <c r="M2037">
        <v>219.87</v>
      </c>
      <c r="AG2037">
        <v>219.87</v>
      </c>
      <c r="AH2037" s="1">
        <v>41624</v>
      </c>
      <c r="AI2037" s="1">
        <v>41634</v>
      </c>
      <c r="AJ2037" s="1">
        <v>41624</v>
      </c>
    </row>
    <row r="2038" spans="1:36" ht="15">
      <c r="A2038" t="str">
        <f>"5517072FD3"</f>
        <v>5517072FD3</v>
      </c>
      <c r="B2038" t="str">
        <f t="shared" si="76"/>
        <v>02406911202</v>
      </c>
      <c r="C2038" t="s">
        <v>13</v>
      </c>
      <c r="D2038" t="s">
        <v>1365</v>
      </c>
      <c r="E2038" t="s">
        <v>1368</v>
      </c>
      <c r="F2038" t="s">
        <v>796</v>
      </c>
      <c r="G2038" t="str">
        <f>"03663500969"</f>
        <v>03663500969</v>
      </c>
      <c r="I2038" t="s">
        <v>46</v>
      </c>
      <c r="L2038" t="s">
        <v>41</v>
      </c>
      <c r="M2038">
        <v>6108.12</v>
      </c>
      <c r="AG2038">
        <v>6108.12</v>
      </c>
      <c r="AH2038" s="1">
        <v>41626</v>
      </c>
      <c r="AI2038" s="1">
        <v>41636</v>
      </c>
      <c r="AJ2038" s="1">
        <v>41626</v>
      </c>
    </row>
    <row r="2039" spans="1:36" ht="15">
      <c r="A2039" t="str">
        <f>"55451144D4"</f>
        <v>55451144D4</v>
      </c>
      <c r="B2039" t="str">
        <f t="shared" si="76"/>
        <v>02406911202</v>
      </c>
      <c r="C2039" t="s">
        <v>13</v>
      </c>
      <c r="D2039" t="s">
        <v>1365</v>
      </c>
      <c r="E2039" t="s">
        <v>1374</v>
      </c>
      <c r="F2039" t="s">
        <v>796</v>
      </c>
      <c r="G2039" t="str">
        <f>"06381000014"</f>
        <v>06381000014</v>
      </c>
      <c r="I2039" t="s">
        <v>1480</v>
      </c>
      <c r="L2039" t="s">
        <v>41</v>
      </c>
      <c r="M2039">
        <v>1350.81</v>
      </c>
      <c r="AG2039">
        <v>1350</v>
      </c>
      <c r="AH2039" s="1">
        <v>41606</v>
      </c>
      <c r="AI2039" s="1">
        <v>41616</v>
      </c>
      <c r="AJ2039" s="1">
        <v>41606</v>
      </c>
    </row>
    <row r="2040" spans="1:36" ht="15">
      <c r="A2040" t="str">
        <f>"5580162F57"</f>
        <v>5580162F57</v>
      </c>
      <c r="B2040" t="str">
        <f t="shared" si="76"/>
        <v>02406911202</v>
      </c>
      <c r="C2040" t="s">
        <v>13</v>
      </c>
      <c r="D2040" t="s">
        <v>1365</v>
      </c>
      <c r="E2040" t="s">
        <v>1374</v>
      </c>
      <c r="F2040" t="s">
        <v>796</v>
      </c>
      <c r="G2040" t="str">
        <f>"00474010345"</f>
        <v>00474010345</v>
      </c>
      <c r="I2040" t="s">
        <v>1481</v>
      </c>
      <c r="L2040" t="s">
        <v>41</v>
      </c>
      <c r="M2040">
        <v>267</v>
      </c>
      <c r="AG2040">
        <v>267</v>
      </c>
      <c r="AH2040" s="1">
        <v>41275</v>
      </c>
      <c r="AI2040" s="1">
        <v>41285</v>
      </c>
      <c r="AJ2040" s="1">
        <v>41275</v>
      </c>
    </row>
    <row r="2041" spans="1:36" ht="15">
      <c r="A2041" t="str">
        <f>"5580175A13"</f>
        <v>5580175A13</v>
      </c>
      <c r="B2041" t="str">
        <f t="shared" si="76"/>
        <v>02406911202</v>
      </c>
      <c r="C2041" t="s">
        <v>13</v>
      </c>
      <c r="D2041" t="s">
        <v>1365</v>
      </c>
      <c r="E2041" t="s">
        <v>1374</v>
      </c>
      <c r="F2041" t="s">
        <v>796</v>
      </c>
      <c r="G2041" t="str">
        <f>"08126390155"</f>
        <v>08126390155</v>
      </c>
      <c r="I2041" t="s">
        <v>1026</v>
      </c>
      <c r="L2041" t="s">
        <v>41</v>
      </c>
      <c r="M2041">
        <v>1080</v>
      </c>
      <c r="AG2041">
        <v>1080</v>
      </c>
      <c r="AH2041" s="1">
        <v>41275</v>
      </c>
      <c r="AI2041" s="1">
        <v>41285</v>
      </c>
      <c r="AJ2041" s="1">
        <v>41275</v>
      </c>
    </row>
    <row r="2042" spans="1:36" ht="15">
      <c r="A2042" t="str">
        <f>"55801949C1"</f>
        <v>55801949C1</v>
      </c>
      <c r="B2042" t="str">
        <f t="shared" si="76"/>
        <v>02406911202</v>
      </c>
      <c r="C2042" t="s">
        <v>13</v>
      </c>
      <c r="D2042" t="s">
        <v>1365</v>
      </c>
      <c r="E2042" t="s">
        <v>1374</v>
      </c>
      <c r="F2042" t="s">
        <v>796</v>
      </c>
      <c r="G2042" t="str">
        <f>"03782160240"</f>
        <v>03782160240</v>
      </c>
      <c r="I2042" t="s">
        <v>1467</v>
      </c>
      <c r="L2042" t="s">
        <v>41</v>
      </c>
      <c r="M2042">
        <v>1224.8</v>
      </c>
      <c r="AG2042">
        <v>0</v>
      </c>
      <c r="AH2042" s="1">
        <v>41275</v>
      </c>
      <c r="AI2042" s="1">
        <v>41285</v>
      </c>
      <c r="AJ2042" s="1">
        <v>41275</v>
      </c>
    </row>
    <row r="2043" spans="1:36" ht="15">
      <c r="A2043" t="str">
        <f>"5580239EE2"</f>
        <v>5580239EE2</v>
      </c>
      <c r="B2043" t="str">
        <f t="shared" si="76"/>
        <v>02406911202</v>
      </c>
      <c r="C2043" t="s">
        <v>13</v>
      </c>
      <c r="D2043" t="s">
        <v>1365</v>
      </c>
      <c r="E2043" t="s">
        <v>1482</v>
      </c>
      <c r="F2043" t="s">
        <v>796</v>
      </c>
      <c r="G2043" t="str">
        <f>"01022690364"</f>
        <v>01022690364</v>
      </c>
      <c r="I2043" t="s">
        <v>1483</v>
      </c>
      <c r="L2043" t="s">
        <v>41</v>
      </c>
      <c r="M2043">
        <v>378</v>
      </c>
      <c r="AG2043">
        <v>378</v>
      </c>
      <c r="AH2043" s="1">
        <v>41275</v>
      </c>
      <c r="AI2043" s="1">
        <v>41285</v>
      </c>
      <c r="AJ2043" s="1">
        <v>41275</v>
      </c>
    </row>
    <row r="2044" spans="1:36" ht="15">
      <c r="A2044" t="str">
        <f>"55802518CB"</f>
        <v>55802518CB</v>
      </c>
      <c r="B2044" t="str">
        <f t="shared" si="76"/>
        <v>02406911202</v>
      </c>
      <c r="C2044" t="s">
        <v>13</v>
      </c>
      <c r="D2044" t="s">
        <v>1365</v>
      </c>
      <c r="E2044" t="s">
        <v>1367</v>
      </c>
      <c r="F2044" t="s">
        <v>796</v>
      </c>
      <c r="G2044" t="str">
        <f>"00640800280"</f>
        <v>00640800280</v>
      </c>
      <c r="I2044" t="s">
        <v>94</v>
      </c>
      <c r="L2044" t="s">
        <v>41</v>
      </c>
      <c r="M2044">
        <v>714</v>
      </c>
      <c r="AG2044">
        <v>413</v>
      </c>
      <c r="AH2044" s="1">
        <v>41275</v>
      </c>
      <c r="AI2044" s="1">
        <v>41285</v>
      </c>
      <c r="AJ2044" s="1">
        <v>41275</v>
      </c>
    </row>
    <row r="2045" spans="1:36" ht="15">
      <c r="A2045" t="str">
        <f>"558026652D"</f>
        <v>558026652D</v>
      </c>
      <c r="B2045" t="str">
        <f t="shared" si="76"/>
        <v>02406911202</v>
      </c>
      <c r="C2045" t="s">
        <v>13</v>
      </c>
      <c r="D2045" t="s">
        <v>1365</v>
      </c>
      <c r="E2045" t="s">
        <v>1367</v>
      </c>
      <c r="F2045" t="s">
        <v>796</v>
      </c>
      <c r="G2045" t="str">
        <f>"00435080304"</f>
        <v>00435080304</v>
      </c>
      <c r="I2045" t="s">
        <v>1421</v>
      </c>
      <c r="L2045" t="s">
        <v>41</v>
      </c>
      <c r="M2045">
        <v>1812</v>
      </c>
      <c r="AG2045">
        <v>81.59</v>
      </c>
      <c r="AH2045" s="1">
        <v>41275</v>
      </c>
      <c r="AI2045" s="1">
        <v>41637</v>
      </c>
      <c r="AJ2045" s="1">
        <v>41275</v>
      </c>
    </row>
    <row r="2046" spans="1:36" ht="15">
      <c r="A2046" t="str">
        <f>"5580297EBF"</f>
        <v>5580297EBF</v>
      </c>
      <c r="B2046" t="str">
        <f t="shared" si="76"/>
        <v>02406911202</v>
      </c>
      <c r="C2046" t="s">
        <v>13</v>
      </c>
      <c r="D2046" t="s">
        <v>1365</v>
      </c>
      <c r="E2046" t="s">
        <v>1367</v>
      </c>
      <c r="F2046" t="s">
        <v>796</v>
      </c>
      <c r="G2046" t="str">
        <f>"01900221209"</f>
        <v>01900221209</v>
      </c>
      <c r="I2046" t="s">
        <v>1402</v>
      </c>
      <c r="L2046" t="s">
        <v>41</v>
      </c>
      <c r="M2046">
        <v>8470</v>
      </c>
      <c r="AG2046">
        <v>6150</v>
      </c>
      <c r="AH2046" s="1">
        <v>41275</v>
      </c>
      <c r="AI2046" s="1">
        <v>41285</v>
      </c>
      <c r="AJ2046" s="1">
        <v>41275</v>
      </c>
    </row>
    <row r="2047" spans="1:36" ht="15">
      <c r="A2047" t="str">
        <f>"55803087D5"</f>
        <v>55803087D5</v>
      </c>
      <c r="B2047" t="str">
        <f t="shared" si="76"/>
        <v>02406911202</v>
      </c>
      <c r="C2047" t="s">
        <v>13</v>
      </c>
      <c r="D2047" t="s">
        <v>1365</v>
      </c>
      <c r="E2047" t="s">
        <v>1367</v>
      </c>
      <c r="F2047" t="s">
        <v>796</v>
      </c>
      <c r="G2047" t="str">
        <f>"05506871002"</f>
        <v>05506871002</v>
      </c>
      <c r="I2047" t="s">
        <v>1484</v>
      </c>
      <c r="L2047" t="s">
        <v>41</v>
      </c>
      <c r="M2047">
        <v>3785</v>
      </c>
      <c r="AG2047">
        <v>1983</v>
      </c>
      <c r="AH2047" s="1">
        <v>41275</v>
      </c>
      <c r="AI2047" s="1">
        <v>41285</v>
      </c>
      <c r="AJ2047" s="1">
        <v>41275</v>
      </c>
    </row>
    <row r="2048" spans="1:36" ht="15">
      <c r="A2048" t="str">
        <f>"5580374E4A"</f>
        <v>5580374E4A</v>
      </c>
      <c r="B2048" t="str">
        <f t="shared" si="76"/>
        <v>02406911202</v>
      </c>
      <c r="C2048" t="s">
        <v>13</v>
      </c>
      <c r="D2048" t="s">
        <v>1365</v>
      </c>
      <c r="E2048" t="s">
        <v>1367</v>
      </c>
      <c r="F2048" t="s">
        <v>796</v>
      </c>
      <c r="G2048" t="str">
        <f>"01847901202"</f>
        <v>01847901202</v>
      </c>
      <c r="I2048" t="s">
        <v>340</v>
      </c>
      <c r="L2048" t="s">
        <v>41</v>
      </c>
      <c r="M2048">
        <v>5153</v>
      </c>
      <c r="AG2048">
        <v>1339</v>
      </c>
      <c r="AH2048" s="1">
        <v>41275</v>
      </c>
      <c r="AI2048" s="1">
        <v>41285</v>
      </c>
      <c r="AJ2048" s="1">
        <v>41275</v>
      </c>
    </row>
    <row r="2049" spans="1:36" ht="15">
      <c r="A2049" t="str">
        <f>"5580395F9E"</f>
        <v>5580395F9E</v>
      </c>
      <c r="B2049" t="str">
        <f t="shared" si="76"/>
        <v>02406911202</v>
      </c>
      <c r="C2049" t="s">
        <v>13</v>
      </c>
      <c r="D2049" t="s">
        <v>1365</v>
      </c>
      <c r="E2049" t="s">
        <v>1367</v>
      </c>
      <c r="F2049" t="s">
        <v>796</v>
      </c>
      <c r="G2049" t="str">
        <f>"04181370372"</f>
        <v>04181370372</v>
      </c>
      <c r="I2049" t="s">
        <v>1387</v>
      </c>
      <c r="L2049" t="s">
        <v>41</v>
      </c>
      <c r="M2049">
        <v>700</v>
      </c>
      <c r="AG2049">
        <v>694.5</v>
      </c>
      <c r="AH2049" s="1">
        <v>41275</v>
      </c>
      <c r="AI2049" s="1">
        <v>41285</v>
      </c>
      <c r="AJ2049" s="1">
        <v>41275</v>
      </c>
    </row>
    <row r="2050" spans="1:36" ht="15">
      <c r="A2050" t="str">
        <f>"558040363B"</f>
        <v>558040363B</v>
      </c>
      <c r="B2050" t="str">
        <f aca="true" t="shared" si="77" ref="B2050:B2113">"02406911202"</f>
        <v>02406911202</v>
      </c>
      <c r="C2050" t="s">
        <v>13</v>
      </c>
      <c r="D2050" t="s">
        <v>1365</v>
      </c>
      <c r="E2050" t="s">
        <v>1367</v>
      </c>
      <c r="F2050" t="s">
        <v>796</v>
      </c>
      <c r="G2050" t="str">
        <f>"06250230965"</f>
        <v>06250230965</v>
      </c>
      <c r="I2050" t="s">
        <v>1485</v>
      </c>
      <c r="L2050" t="s">
        <v>41</v>
      </c>
      <c r="M2050">
        <v>200</v>
      </c>
      <c r="AG2050">
        <v>200</v>
      </c>
      <c r="AH2050" s="1">
        <v>41275</v>
      </c>
      <c r="AI2050" s="1">
        <v>41285</v>
      </c>
      <c r="AJ2050" s="1">
        <v>41275</v>
      </c>
    </row>
    <row r="2051" spans="1:36" ht="15">
      <c r="A2051" t="str">
        <f>"3935027700"</f>
        <v>3935027700</v>
      </c>
      <c r="B2051" t="str">
        <f t="shared" si="77"/>
        <v>02406911202</v>
      </c>
      <c r="C2051" t="s">
        <v>13</v>
      </c>
      <c r="D2051" t="s">
        <v>1486</v>
      </c>
      <c r="E2051" t="s">
        <v>1487</v>
      </c>
      <c r="F2051" t="s">
        <v>796</v>
      </c>
      <c r="G2051" t="str">
        <f>"01793811207"</f>
        <v>01793811207</v>
      </c>
      <c r="I2051" t="s">
        <v>1488</v>
      </c>
      <c r="L2051" t="s">
        <v>41</v>
      </c>
      <c r="M2051">
        <v>2000</v>
      </c>
      <c r="AG2051">
        <v>1251.81</v>
      </c>
      <c r="AH2051" s="1">
        <v>41421</v>
      </c>
      <c r="AI2051" s="1">
        <v>41431</v>
      </c>
      <c r="AJ2051" s="1">
        <v>41421</v>
      </c>
    </row>
    <row r="2052" spans="1:36" ht="15">
      <c r="A2052" t="str">
        <f>"383366479B"</f>
        <v>383366479B</v>
      </c>
      <c r="B2052" t="str">
        <f t="shared" si="77"/>
        <v>02406911202</v>
      </c>
      <c r="C2052" t="s">
        <v>13</v>
      </c>
      <c r="D2052" t="s">
        <v>1486</v>
      </c>
      <c r="E2052" t="s">
        <v>1489</v>
      </c>
      <c r="F2052" t="s">
        <v>796</v>
      </c>
      <c r="G2052" t="str">
        <f>"09771701001"</f>
        <v>09771701001</v>
      </c>
      <c r="I2052" t="s">
        <v>441</v>
      </c>
      <c r="L2052" t="s">
        <v>41</v>
      </c>
      <c r="M2052">
        <v>219.43</v>
      </c>
      <c r="AG2052">
        <v>219.43</v>
      </c>
      <c r="AH2052" s="1">
        <v>41305</v>
      </c>
      <c r="AI2052" s="1">
        <v>41496</v>
      </c>
      <c r="AJ2052" s="1">
        <v>41305</v>
      </c>
    </row>
    <row r="2053" spans="1:36" ht="15">
      <c r="A2053" t="str">
        <f>"38337828FB"</f>
        <v>38337828FB</v>
      </c>
      <c r="B2053" t="str">
        <f t="shared" si="77"/>
        <v>02406911202</v>
      </c>
      <c r="C2053" t="s">
        <v>13</v>
      </c>
      <c r="D2053" t="s">
        <v>1486</v>
      </c>
      <c r="E2053" t="s">
        <v>1490</v>
      </c>
      <c r="F2053" t="s">
        <v>796</v>
      </c>
      <c r="G2053" t="str">
        <f>"07516911000"</f>
        <v>07516911000</v>
      </c>
      <c r="I2053" t="s">
        <v>1491</v>
      </c>
      <c r="L2053" t="s">
        <v>41</v>
      </c>
      <c r="M2053">
        <v>2500</v>
      </c>
      <c r="AG2053">
        <v>621.65</v>
      </c>
      <c r="AH2053" s="1">
        <v>41305</v>
      </c>
      <c r="AI2053" s="1">
        <v>41496</v>
      </c>
      <c r="AJ2053" s="1">
        <v>41305</v>
      </c>
    </row>
    <row r="2054" spans="1:36" ht="15">
      <c r="A2054" t="str">
        <f>"38344998AB"</f>
        <v>38344998AB</v>
      </c>
      <c r="B2054" t="str">
        <f t="shared" si="77"/>
        <v>02406911202</v>
      </c>
      <c r="C2054" t="s">
        <v>13</v>
      </c>
      <c r="D2054" t="s">
        <v>1486</v>
      </c>
      <c r="E2054" t="s">
        <v>1492</v>
      </c>
      <c r="F2054" t="s">
        <v>796</v>
      </c>
      <c r="G2054" t="str">
        <f>"07332350631"</f>
        <v>07332350631</v>
      </c>
      <c r="I2054" t="s">
        <v>424</v>
      </c>
      <c r="L2054" t="s">
        <v>41</v>
      </c>
      <c r="M2054">
        <v>2000</v>
      </c>
      <c r="AG2054">
        <v>722.96</v>
      </c>
      <c r="AH2054" s="1">
        <v>41305</v>
      </c>
      <c r="AI2054" s="1">
        <v>41465</v>
      </c>
      <c r="AJ2054" s="1">
        <v>41305</v>
      </c>
    </row>
    <row r="2055" spans="1:37" ht="15">
      <c r="A2055" t="str">
        <f>"3891080CC8"</f>
        <v>3891080CC8</v>
      </c>
      <c r="B2055" t="str">
        <f t="shared" si="77"/>
        <v>02406911202</v>
      </c>
      <c r="C2055" t="s">
        <v>13</v>
      </c>
      <c r="D2055" t="s">
        <v>1486</v>
      </c>
      <c r="E2055" t="s">
        <v>1493</v>
      </c>
      <c r="F2055" t="s">
        <v>796</v>
      </c>
      <c r="G2055" t="str">
        <f>"08817300158"</f>
        <v>08817300158</v>
      </c>
      <c r="I2055" t="s">
        <v>1371</v>
      </c>
      <c r="L2055" t="s">
        <v>41</v>
      </c>
      <c r="M2055">
        <v>55849.47</v>
      </c>
      <c r="AG2055">
        <v>55849.47</v>
      </c>
      <c r="AH2055" s="1">
        <v>41305</v>
      </c>
      <c r="AI2055" s="1">
        <v>41621</v>
      </c>
      <c r="AJ2055" s="1">
        <v>41305</v>
      </c>
      <c r="AK2055" t="s">
        <v>1494</v>
      </c>
    </row>
    <row r="2056" spans="1:36" ht="15">
      <c r="A2056" t="str">
        <f>"4305690FC6"</f>
        <v>4305690FC6</v>
      </c>
      <c r="B2056" t="str">
        <f t="shared" si="77"/>
        <v>02406911202</v>
      </c>
      <c r="C2056" t="s">
        <v>13</v>
      </c>
      <c r="D2056" t="s">
        <v>1486</v>
      </c>
      <c r="E2056" t="s">
        <v>1487</v>
      </c>
      <c r="F2056" t="s">
        <v>796</v>
      </c>
      <c r="G2056" t="str">
        <f>"02853071203"</f>
        <v>02853071203</v>
      </c>
      <c r="I2056" t="s">
        <v>1495</v>
      </c>
      <c r="L2056" t="s">
        <v>41</v>
      </c>
      <c r="M2056">
        <v>413.22</v>
      </c>
      <c r="AG2056">
        <v>413.22</v>
      </c>
      <c r="AH2056" s="1">
        <v>41536</v>
      </c>
      <c r="AI2056" s="1">
        <v>41546</v>
      </c>
      <c r="AJ2056" s="1">
        <v>41536</v>
      </c>
    </row>
    <row r="2057" spans="1:36" ht="15">
      <c r="A2057" t="str">
        <f>"4778205B7E"</f>
        <v>4778205B7E</v>
      </c>
      <c r="B2057" t="str">
        <f t="shared" si="77"/>
        <v>02406911202</v>
      </c>
      <c r="C2057" t="s">
        <v>13</v>
      </c>
      <c r="D2057" t="s">
        <v>1486</v>
      </c>
      <c r="E2057" t="s">
        <v>1496</v>
      </c>
      <c r="F2057" t="s">
        <v>796</v>
      </c>
      <c r="G2057" t="str">
        <f>"10209790152"</f>
        <v>10209790152</v>
      </c>
      <c r="I2057" t="s">
        <v>127</v>
      </c>
      <c r="L2057" t="s">
        <v>41</v>
      </c>
      <c r="M2057">
        <v>3319.56</v>
      </c>
      <c r="AG2057">
        <v>2743.44</v>
      </c>
      <c r="AH2057" s="1">
        <v>41305</v>
      </c>
      <c r="AI2057" s="1">
        <v>41315</v>
      </c>
      <c r="AJ2057" s="1">
        <v>41305</v>
      </c>
    </row>
    <row r="2058" spans="1:36" ht="15">
      <c r="A2058" t="str">
        <f>"47782153C1"</f>
        <v>47782153C1</v>
      </c>
      <c r="B2058" t="str">
        <f t="shared" si="77"/>
        <v>02406911202</v>
      </c>
      <c r="C2058" t="s">
        <v>13</v>
      </c>
      <c r="D2058" t="s">
        <v>1486</v>
      </c>
      <c r="E2058" t="s">
        <v>1496</v>
      </c>
      <c r="F2058" t="s">
        <v>796</v>
      </c>
      <c r="G2058" t="str">
        <f>"03864470376"</f>
        <v>03864470376</v>
      </c>
      <c r="I2058" t="s">
        <v>1497</v>
      </c>
      <c r="L2058" t="s">
        <v>41</v>
      </c>
      <c r="M2058">
        <v>1681.9</v>
      </c>
      <c r="AG2058">
        <v>1401.58</v>
      </c>
      <c r="AH2058" s="1">
        <v>41289</v>
      </c>
      <c r="AI2058" s="1">
        <v>41299</v>
      </c>
      <c r="AJ2058" s="1">
        <v>41289</v>
      </c>
    </row>
    <row r="2059" spans="1:36" ht="15">
      <c r="A2059" t="str">
        <f>"4778227DA5"</f>
        <v>4778227DA5</v>
      </c>
      <c r="B2059" t="str">
        <f t="shared" si="77"/>
        <v>02406911202</v>
      </c>
      <c r="C2059" t="s">
        <v>13</v>
      </c>
      <c r="D2059" t="s">
        <v>1486</v>
      </c>
      <c r="E2059" t="s">
        <v>1496</v>
      </c>
      <c r="F2059" t="s">
        <v>796</v>
      </c>
      <c r="G2059" t="str">
        <f>"00777910159"</f>
        <v>00777910159</v>
      </c>
      <c r="I2059" t="s">
        <v>269</v>
      </c>
      <c r="L2059" t="s">
        <v>41</v>
      </c>
      <c r="M2059">
        <v>199</v>
      </c>
      <c r="AG2059">
        <v>199</v>
      </c>
      <c r="AH2059" s="1">
        <v>41305</v>
      </c>
      <c r="AI2059" s="1">
        <v>41315</v>
      </c>
      <c r="AJ2059" s="1">
        <v>41305</v>
      </c>
    </row>
    <row r="2060" spans="1:36" ht="15">
      <c r="A2060" t="str">
        <f>"Z050B1CF9C"</f>
        <v>Z050B1CF9C</v>
      </c>
      <c r="B2060" t="str">
        <f t="shared" si="77"/>
        <v>02406911202</v>
      </c>
      <c r="C2060" t="s">
        <v>13</v>
      </c>
      <c r="D2060" t="s">
        <v>1486</v>
      </c>
      <c r="E2060" t="s">
        <v>1487</v>
      </c>
      <c r="F2060" t="s">
        <v>796</v>
      </c>
      <c r="G2060" t="str">
        <f>"01232060770"</f>
        <v>01232060770</v>
      </c>
      <c r="I2060" t="s">
        <v>1498</v>
      </c>
      <c r="L2060" t="s">
        <v>41</v>
      </c>
      <c r="M2060">
        <v>1650</v>
      </c>
      <c r="AG2060">
        <v>1650</v>
      </c>
      <c r="AH2060" s="1">
        <v>41486</v>
      </c>
      <c r="AI2060" s="1">
        <v>41496</v>
      </c>
      <c r="AJ2060" s="1">
        <v>41486</v>
      </c>
    </row>
    <row r="2061" spans="1:36" ht="15">
      <c r="A2061" t="str">
        <f>"Z2609EE620"</f>
        <v>Z2609EE620</v>
      </c>
      <c r="B2061" t="str">
        <f t="shared" si="77"/>
        <v>02406911202</v>
      </c>
      <c r="C2061" t="s">
        <v>13</v>
      </c>
      <c r="D2061" t="s">
        <v>1486</v>
      </c>
      <c r="E2061" t="s">
        <v>1487</v>
      </c>
      <c r="F2061" t="s">
        <v>796</v>
      </c>
      <c r="G2061" t="str">
        <f>"01677220350"</f>
        <v>01677220350</v>
      </c>
      <c r="I2061" t="s">
        <v>1499</v>
      </c>
      <c r="L2061" t="s">
        <v>41</v>
      </c>
      <c r="M2061">
        <v>301.81</v>
      </c>
      <c r="AG2061">
        <v>301.81</v>
      </c>
      <c r="AH2061" s="1">
        <v>41355</v>
      </c>
      <c r="AI2061" s="1">
        <v>41365</v>
      </c>
      <c r="AJ2061" s="1">
        <v>41355</v>
      </c>
    </row>
    <row r="2062" spans="1:36" ht="15">
      <c r="A2062" t="str">
        <f>"Z350D13E82"</f>
        <v>Z350D13E82</v>
      </c>
      <c r="B2062" t="str">
        <f t="shared" si="77"/>
        <v>02406911202</v>
      </c>
      <c r="C2062" t="s">
        <v>13</v>
      </c>
      <c r="D2062" t="s">
        <v>1486</v>
      </c>
      <c r="E2062" t="s">
        <v>1487</v>
      </c>
      <c r="F2062" t="s">
        <v>796</v>
      </c>
      <c r="G2062" t="str">
        <f>"02408791206"</f>
        <v>02408791206</v>
      </c>
      <c r="I2062" t="s">
        <v>1500</v>
      </c>
      <c r="L2062" t="s">
        <v>41</v>
      </c>
      <c r="M2062">
        <v>650</v>
      </c>
      <c r="AG2062">
        <v>650</v>
      </c>
      <c r="AH2062" s="1">
        <v>41614</v>
      </c>
      <c r="AI2062" s="1">
        <v>41624</v>
      </c>
      <c r="AJ2062" s="1">
        <v>41614</v>
      </c>
    </row>
    <row r="2063" spans="1:36" ht="15">
      <c r="A2063" t="str">
        <f>"Z460BF5970"</f>
        <v>Z460BF5970</v>
      </c>
      <c r="B2063" t="str">
        <f t="shared" si="77"/>
        <v>02406911202</v>
      </c>
      <c r="C2063" t="s">
        <v>13</v>
      </c>
      <c r="D2063" t="s">
        <v>1486</v>
      </c>
      <c r="E2063" t="s">
        <v>1487</v>
      </c>
      <c r="F2063" t="s">
        <v>796</v>
      </c>
      <c r="G2063" t="str">
        <f>"02352190397"</f>
        <v>02352190397</v>
      </c>
      <c r="I2063" t="s">
        <v>1501</v>
      </c>
      <c r="L2063" t="s">
        <v>41</v>
      </c>
      <c r="M2063">
        <v>559</v>
      </c>
      <c r="AG2063">
        <v>461.98</v>
      </c>
      <c r="AH2063" s="1">
        <v>41562</v>
      </c>
      <c r="AI2063" s="1">
        <v>41572</v>
      </c>
      <c r="AJ2063" s="1">
        <v>41562</v>
      </c>
    </row>
    <row r="2064" spans="1:36" ht="15">
      <c r="A2064" t="str">
        <f>"Z5309EE67D"</f>
        <v>Z5309EE67D</v>
      </c>
      <c r="B2064" t="str">
        <f t="shared" si="77"/>
        <v>02406911202</v>
      </c>
      <c r="C2064" t="s">
        <v>13</v>
      </c>
      <c r="D2064" t="s">
        <v>1486</v>
      </c>
      <c r="E2064" t="s">
        <v>1502</v>
      </c>
      <c r="F2064" t="s">
        <v>796</v>
      </c>
      <c r="G2064" t="str">
        <f>"01760350387"</f>
        <v>01760350387</v>
      </c>
      <c r="I2064" t="s">
        <v>1503</v>
      </c>
      <c r="L2064" t="s">
        <v>41</v>
      </c>
      <c r="M2064">
        <v>102</v>
      </c>
      <c r="AG2064">
        <v>51</v>
      </c>
      <c r="AH2064" s="1">
        <v>41396</v>
      </c>
      <c r="AI2064" s="1">
        <v>41406</v>
      </c>
      <c r="AJ2064" s="1">
        <v>41396</v>
      </c>
    </row>
    <row r="2065" spans="1:36" ht="15">
      <c r="A2065" t="str">
        <f>"Z8F0A4187D"</f>
        <v>Z8F0A4187D</v>
      </c>
      <c r="B2065" t="str">
        <f t="shared" si="77"/>
        <v>02406911202</v>
      </c>
      <c r="C2065" t="s">
        <v>13</v>
      </c>
      <c r="D2065" t="s">
        <v>1486</v>
      </c>
      <c r="E2065" t="s">
        <v>1487</v>
      </c>
      <c r="F2065" t="s">
        <v>796</v>
      </c>
      <c r="G2065" t="str">
        <f>"02946981202"</f>
        <v>02946981202</v>
      </c>
      <c r="I2065" t="s">
        <v>1504</v>
      </c>
      <c r="L2065" t="s">
        <v>41</v>
      </c>
      <c r="M2065">
        <v>500</v>
      </c>
      <c r="AG2065">
        <v>500</v>
      </c>
      <c r="AH2065" s="1">
        <v>41418</v>
      </c>
      <c r="AI2065" s="1">
        <v>41428</v>
      </c>
      <c r="AJ2065" s="1">
        <v>41418</v>
      </c>
    </row>
    <row r="2066" spans="1:36" ht="15">
      <c r="A2066" t="str">
        <f>"ZB90A4180B"</f>
        <v>ZB90A4180B</v>
      </c>
      <c r="B2066" t="str">
        <f t="shared" si="77"/>
        <v>02406911202</v>
      </c>
      <c r="C2066" t="s">
        <v>13</v>
      </c>
      <c r="D2066" t="s">
        <v>1486</v>
      </c>
      <c r="E2066" t="s">
        <v>1487</v>
      </c>
      <c r="F2066" t="s">
        <v>796</v>
      </c>
      <c r="G2066" t="str">
        <f>"02298321205"</f>
        <v>02298321205</v>
      </c>
      <c r="I2066" t="s">
        <v>1505</v>
      </c>
      <c r="L2066" t="s">
        <v>41</v>
      </c>
      <c r="M2066">
        <v>400</v>
      </c>
      <c r="AG2066">
        <v>400</v>
      </c>
      <c r="AH2066" s="1">
        <v>41421</v>
      </c>
      <c r="AI2066" s="1">
        <v>41431</v>
      </c>
      <c r="AJ2066" s="1">
        <v>41421</v>
      </c>
    </row>
    <row r="2067" spans="1:36" ht="15">
      <c r="A2067" t="str">
        <f>"ZD00A9A105"</f>
        <v>ZD00A9A105</v>
      </c>
      <c r="B2067" t="str">
        <f t="shared" si="77"/>
        <v>02406911202</v>
      </c>
      <c r="C2067" t="s">
        <v>13</v>
      </c>
      <c r="D2067" t="s">
        <v>1486</v>
      </c>
      <c r="E2067" t="s">
        <v>1487</v>
      </c>
      <c r="F2067" t="s">
        <v>796</v>
      </c>
      <c r="G2067" t="str">
        <f>"01908391202"</f>
        <v>01908391202</v>
      </c>
      <c r="I2067" t="s">
        <v>1506</v>
      </c>
      <c r="L2067" t="s">
        <v>41</v>
      </c>
      <c r="M2067">
        <v>500</v>
      </c>
      <c r="AG2067">
        <v>500</v>
      </c>
      <c r="AH2067" s="1">
        <v>41452</v>
      </c>
      <c r="AI2067" s="1">
        <v>41462</v>
      </c>
      <c r="AJ2067" s="1">
        <v>41452</v>
      </c>
    </row>
    <row r="2068" spans="1:36" ht="15">
      <c r="A2068" t="str">
        <f>"0199338066"</f>
        <v>0199338066</v>
      </c>
      <c r="B2068" t="str">
        <f t="shared" si="77"/>
        <v>02406911202</v>
      </c>
      <c r="C2068" t="s">
        <v>13</v>
      </c>
      <c r="D2068" t="s">
        <v>930</v>
      </c>
      <c r="E2068" t="s">
        <v>1507</v>
      </c>
      <c r="F2068" t="s">
        <v>796</v>
      </c>
      <c r="G2068" t="str">
        <f>"02109510368"</f>
        <v>02109510368</v>
      </c>
      <c r="I2068" t="s">
        <v>1447</v>
      </c>
      <c r="L2068" t="s">
        <v>41</v>
      </c>
      <c r="M2068">
        <v>510</v>
      </c>
      <c r="AG2068">
        <v>510</v>
      </c>
      <c r="AH2068" s="1">
        <v>41558</v>
      </c>
      <c r="AI2068" s="1">
        <v>41568</v>
      </c>
      <c r="AJ2068" s="1">
        <v>41558</v>
      </c>
    </row>
    <row r="2069" spans="1:36" ht="15">
      <c r="A2069" t="str">
        <f>"0451907070"</f>
        <v>0451907070</v>
      </c>
      <c r="B2069" t="str">
        <f t="shared" si="77"/>
        <v>02406911202</v>
      </c>
      <c r="C2069" t="s">
        <v>13</v>
      </c>
      <c r="D2069" t="s">
        <v>930</v>
      </c>
      <c r="E2069" t="s">
        <v>1507</v>
      </c>
      <c r="F2069" t="s">
        <v>796</v>
      </c>
      <c r="G2069" t="str">
        <f>"00803890151"</f>
        <v>00803890151</v>
      </c>
      <c r="I2069" t="s">
        <v>742</v>
      </c>
      <c r="L2069" t="s">
        <v>41</v>
      </c>
      <c r="M2069">
        <v>236</v>
      </c>
      <c r="AG2069">
        <v>236</v>
      </c>
      <c r="AH2069" s="1">
        <v>41346</v>
      </c>
      <c r="AI2069" s="1">
        <v>41356</v>
      </c>
      <c r="AJ2069" s="1">
        <v>41346</v>
      </c>
    </row>
    <row r="2070" spans="1:36" ht="15">
      <c r="A2070" t="str">
        <f>"2019992620"</f>
        <v>2019992620</v>
      </c>
      <c r="B2070" t="str">
        <f t="shared" si="77"/>
        <v>02406911202</v>
      </c>
      <c r="C2070" t="s">
        <v>13</v>
      </c>
      <c r="D2070" t="s">
        <v>930</v>
      </c>
      <c r="E2070" t="s">
        <v>1508</v>
      </c>
      <c r="F2070" t="s">
        <v>796</v>
      </c>
      <c r="G2070" t="str">
        <f>"01957491200"</f>
        <v>01957491200</v>
      </c>
      <c r="I2070" t="s">
        <v>1509</v>
      </c>
      <c r="L2070" t="s">
        <v>41</v>
      </c>
      <c r="M2070">
        <v>4000</v>
      </c>
      <c r="AG2070">
        <v>1338</v>
      </c>
      <c r="AH2070" s="1">
        <v>41281</v>
      </c>
      <c r="AI2070" s="1">
        <v>41291</v>
      </c>
      <c r="AJ2070" s="1">
        <v>41281</v>
      </c>
    </row>
    <row r="2071" spans="1:36" ht="15">
      <c r="A2071" t="str">
        <f>"2352141826"</f>
        <v>2352141826</v>
      </c>
      <c r="B2071" t="str">
        <f t="shared" si="77"/>
        <v>02406911202</v>
      </c>
      <c r="C2071" t="s">
        <v>13</v>
      </c>
      <c r="D2071" t="s">
        <v>930</v>
      </c>
      <c r="E2071" t="s">
        <v>1510</v>
      </c>
      <c r="F2071" t="s">
        <v>796</v>
      </c>
      <c r="G2071" t="str">
        <f>"06068041000"</f>
        <v>06068041000</v>
      </c>
      <c r="I2071" t="s">
        <v>954</v>
      </c>
      <c r="L2071" t="s">
        <v>41</v>
      </c>
      <c r="M2071">
        <v>3000</v>
      </c>
      <c r="AG2071">
        <v>1240</v>
      </c>
      <c r="AH2071" s="1">
        <v>41312</v>
      </c>
      <c r="AI2071" s="1">
        <v>41462</v>
      </c>
      <c r="AJ2071" s="1">
        <v>41312</v>
      </c>
    </row>
    <row r="2072" spans="1:36" ht="15">
      <c r="A2072" t="str">
        <f>"2520725811"</f>
        <v>2520725811</v>
      </c>
      <c r="B2072" t="str">
        <f t="shared" si="77"/>
        <v>02406911202</v>
      </c>
      <c r="C2072" t="s">
        <v>13</v>
      </c>
      <c r="D2072" t="s">
        <v>930</v>
      </c>
      <c r="E2072" t="s">
        <v>1511</v>
      </c>
      <c r="F2072" t="s">
        <v>796</v>
      </c>
      <c r="G2072" t="str">
        <f>"01538451202"</f>
        <v>01538451202</v>
      </c>
      <c r="I2072" t="s">
        <v>579</v>
      </c>
      <c r="L2072" t="s">
        <v>41</v>
      </c>
      <c r="M2072">
        <v>429.4</v>
      </c>
      <c r="AG2072">
        <v>1091.8</v>
      </c>
      <c r="AH2072" s="1">
        <v>41354</v>
      </c>
      <c r="AI2072" s="1">
        <v>41603</v>
      </c>
      <c r="AJ2072" s="1">
        <v>41354</v>
      </c>
    </row>
    <row r="2073" spans="1:36" ht="15">
      <c r="A2073" t="str">
        <f>"2520764840"</f>
        <v>2520764840</v>
      </c>
      <c r="B2073" t="str">
        <f t="shared" si="77"/>
        <v>02406911202</v>
      </c>
      <c r="C2073" t="s">
        <v>13</v>
      </c>
      <c r="D2073" t="s">
        <v>930</v>
      </c>
      <c r="E2073" t="s">
        <v>1511</v>
      </c>
      <c r="F2073" t="s">
        <v>796</v>
      </c>
      <c r="G2073" t="str">
        <f>"01857820284"</f>
        <v>01857820284</v>
      </c>
      <c r="I2073" t="s">
        <v>582</v>
      </c>
      <c r="L2073" t="s">
        <v>41</v>
      </c>
      <c r="M2073">
        <v>1391.6</v>
      </c>
      <c r="AG2073">
        <v>17785.5</v>
      </c>
      <c r="AH2073" s="1">
        <v>41282</v>
      </c>
      <c r="AI2073" s="1">
        <v>41624</v>
      </c>
      <c r="AJ2073" s="1">
        <v>41282</v>
      </c>
    </row>
    <row r="2074" spans="1:36" ht="15">
      <c r="A2074" t="str">
        <f>"4001432624"</f>
        <v>4001432624</v>
      </c>
      <c r="B2074" t="str">
        <f t="shared" si="77"/>
        <v>02406911202</v>
      </c>
      <c r="C2074" t="s">
        <v>13</v>
      </c>
      <c r="D2074" t="s">
        <v>930</v>
      </c>
      <c r="E2074" t="s">
        <v>1507</v>
      </c>
      <c r="F2074" t="s">
        <v>796</v>
      </c>
      <c r="G2074" t="str">
        <f>"04966401004"</f>
        <v>04966401004</v>
      </c>
      <c r="I2074" t="s">
        <v>1512</v>
      </c>
      <c r="L2074" t="s">
        <v>41</v>
      </c>
      <c r="M2074">
        <v>240</v>
      </c>
      <c r="AG2074">
        <v>45340</v>
      </c>
      <c r="AH2074" s="1">
        <v>41288</v>
      </c>
      <c r="AI2074" s="1">
        <v>41642</v>
      </c>
      <c r="AJ2074" s="1">
        <v>41288</v>
      </c>
    </row>
    <row r="2075" spans="1:36" ht="15">
      <c r="A2075" t="str">
        <f>"25557374E3"</f>
        <v>25557374E3</v>
      </c>
      <c r="B2075" t="str">
        <f t="shared" si="77"/>
        <v>02406911202</v>
      </c>
      <c r="C2075" t="s">
        <v>13</v>
      </c>
      <c r="D2075" t="s">
        <v>930</v>
      </c>
      <c r="E2075" t="s">
        <v>1508</v>
      </c>
      <c r="F2075" t="s">
        <v>796</v>
      </c>
      <c r="G2075" t="str">
        <f>"01625451206"</f>
        <v>01625451206</v>
      </c>
      <c r="I2075" t="s">
        <v>1474</v>
      </c>
      <c r="L2075" t="s">
        <v>41</v>
      </c>
      <c r="M2075">
        <v>3000</v>
      </c>
      <c r="AG2075">
        <v>1231.03</v>
      </c>
      <c r="AH2075" s="1">
        <v>41333</v>
      </c>
      <c r="AI2075" s="1">
        <v>41376</v>
      </c>
      <c r="AJ2075" s="1">
        <v>41333</v>
      </c>
    </row>
    <row r="2076" spans="1:36" ht="15">
      <c r="A2076" t="str">
        <f>"0201849B0D"</f>
        <v>0201849B0D</v>
      </c>
      <c r="B2076" t="str">
        <f t="shared" si="77"/>
        <v>02406911202</v>
      </c>
      <c r="C2076" t="s">
        <v>13</v>
      </c>
      <c r="D2076" t="s">
        <v>930</v>
      </c>
      <c r="E2076" t="s">
        <v>1507</v>
      </c>
      <c r="F2076" t="s">
        <v>796</v>
      </c>
      <c r="G2076" t="str">
        <f>"00673881207"</f>
        <v>00673881207</v>
      </c>
      <c r="I2076" t="s">
        <v>1434</v>
      </c>
      <c r="L2076" t="s">
        <v>41</v>
      </c>
      <c r="M2076">
        <v>315</v>
      </c>
      <c r="AG2076">
        <v>31184.14</v>
      </c>
      <c r="AH2076" s="1">
        <v>41304</v>
      </c>
      <c r="AI2076" s="1">
        <v>41631</v>
      </c>
      <c r="AJ2076" s="1">
        <v>41304</v>
      </c>
    </row>
    <row r="2077" spans="1:36" ht="15">
      <c r="A2077" t="str">
        <f>"0201849BOD"</f>
        <v>0201849BOD</v>
      </c>
      <c r="B2077" t="str">
        <f t="shared" si="77"/>
        <v>02406911202</v>
      </c>
      <c r="C2077" t="s">
        <v>13</v>
      </c>
      <c r="D2077" t="s">
        <v>930</v>
      </c>
      <c r="E2077" t="s">
        <v>1507</v>
      </c>
      <c r="F2077" t="s">
        <v>796</v>
      </c>
      <c r="G2077" t="str">
        <f>"00673881207"</f>
        <v>00673881207</v>
      </c>
      <c r="I2077" t="s">
        <v>1434</v>
      </c>
      <c r="L2077" t="s">
        <v>41</v>
      </c>
      <c r="M2077">
        <v>165</v>
      </c>
      <c r="AG2077">
        <v>165</v>
      </c>
      <c r="AH2077" s="1">
        <v>41410</v>
      </c>
      <c r="AI2077" s="1">
        <v>41420</v>
      </c>
      <c r="AJ2077" s="1">
        <v>41410</v>
      </c>
    </row>
    <row r="2078" spans="1:36" ht="15">
      <c r="A2078" t="str">
        <f>"02631939B9"</f>
        <v>02631939B9</v>
      </c>
      <c r="B2078" t="str">
        <f t="shared" si="77"/>
        <v>02406911202</v>
      </c>
      <c r="C2078" t="s">
        <v>13</v>
      </c>
      <c r="D2078" t="s">
        <v>930</v>
      </c>
      <c r="E2078" t="s">
        <v>1510</v>
      </c>
      <c r="F2078" t="s">
        <v>796</v>
      </c>
      <c r="G2078" t="str">
        <f>"11954900152"</f>
        <v>11954900152</v>
      </c>
      <c r="I2078" t="s">
        <v>1419</v>
      </c>
      <c r="L2078" t="s">
        <v>41</v>
      </c>
      <c r="M2078">
        <v>2707.04</v>
      </c>
      <c r="AG2078">
        <v>18128.55</v>
      </c>
      <c r="AH2078" s="1">
        <v>41323</v>
      </c>
      <c r="AI2078" s="1">
        <v>41629</v>
      </c>
      <c r="AJ2078" s="1">
        <v>41323</v>
      </c>
    </row>
    <row r="2079" spans="1:36" ht="15">
      <c r="A2079" t="str">
        <f>"0302980AFE"</f>
        <v>0302980AFE</v>
      </c>
      <c r="B2079" t="str">
        <f t="shared" si="77"/>
        <v>02406911202</v>
      </c>
      <c r="C2079" t="s">
        <v>13</v>
      </c>
      <c r="D2079" t="s">
        <v>930</v>
      </c>
      <c r="E2079" t="s">
        <v>1510</v>
      </c>
      <c r="F2079" t="s">
        <v>796</v>
      </c>
      <c r="G2079" t="str">
        <f>"03153711209"</f>
        <v>03153711209</v>
      </c>
      <c r="I2079" t="s">
        <v>1513</v>
      </c>
      <c r="L2079" t="s">
        <v>41</v>
      </c>
      <c r="M2079">
        <v>230</v>
      </c>
      <c r="AG2079">
        <v>3530.69</v>
      </c>
      <c r="AH2079" s="1">
        <v>41281</v>
      </c>
      <c r="AI2079" s="1">
        <v>41608</v>
      </c>
      <c r="AJ2079" s="1">
        <v>41281</v>
      </c>
    </row>
    <row r="2080" spans="1:36" ht="15">
      <c r="A2080" t="str">
        <f>"0741029C76"</f>
        <v>0741029C76</v>
      </c>
      <c r="B2080" t="str">
        <f t="shared" si="77"/>
        <v>02406911202</v>
      </c>
      <c r="C2080" t="s">
        <v>13</v>
      </c>
      <c r="D2080" t="s">
        <v>930</v>
      </c>
      <c r="E2080" t="s">
        <v>1507</v>
      </c>
      <c r="F2080" t="s">
        <v>796</v>
      </c>
      <c r="G2080" t="str">
        <f>"00440180545"</f>
        <v>00440180545</v>
      </c>
      <c r="I2080" t="s">
        <v>1514</v>
      </c>
      <c r="L2080" t="s">
        <v>41</v>
      </c>
      <c r="M2080">
        <v>495</v>
      </c>
      <c r="AG2080">
        <v>15253</v>
      </c>
      <c r="AH2080" s="1">
        <v>41277</v>
      </c>
      <c r="AI2080" s="1">
        <v>41615</v>
      </c>
      <c r="AJ2080" s="1">
        <v>41277</v>
      </c>
    </row>
    <row r="2081" spans="1:36" ht="15">
      <c r="A2081" t="str">
        <f>"1251340E6B"</f>
        <v>1251340E6B</v>
      </c>
      <c r="B2081" t="str">
        <f t="shared" si="77"/>
        <v>02406911202</v>
      </c>
      <c r="C2081" t="s">
        <v>13</v>
      </c>
      <c r="D2081" t="s">
        <v>930</v>
      </c>
      <c r="E2081" t="s">
        <v>1507</v>
      </c>
      <c r="F2081" t="s">
        <v>796</v>
      </c>
      <c r="G2081" t="str">
        <f>"08641790152"</f>
        <v>08641790152</v>
      </c>
      <c r="I2081" t="s">
        <v>1014</v>
      </c>
      <c r="L2081" t="s">
        <v>41</v>
      </c>
      <c r="M2081">
        <v>1692</v>
      </c>
      <c r="AG2081">
        <v>21431.2</v>
      </c>
      <c r="AH2081" s="1">
        <v>41277</v>
      </c>
      <c r="AI2081" s="1">
        <v>41517</v>
      </c>
      <c r="AJ2081" s="1">
        <v>41277</v>
      </c>
    </row>
    <row r="2082" spans="1:36" ht="15">
      <c r="A2082" t="str">
        <f>"14110524F1"</f>
        <v>14110524F1</v>
      </c>
      <c r="B2082" t="str">
        <f t="shared" si="77"/>
        <v>02406911202</v>
      </c>
      <c r="C2082" t="s">
        <v>13</v>
      </c>
      <c r="D2082" t="s">
        <v>930</v>
      </c>
      <c r="E2082" t="s">
        <v>1510</v>
      </c>
      <c r="F2082" t="s">
        <v>796</v>
      </c>
      <c r="G2082" t="str">
        <f>"05775430969"</f>
        <v>05775430969</v>
      </c>
      <c r="I2082" t="s">
        <v>1515</v>
      </c>
      <c r="L2082" t="s">
        <v>41</v>
      </c>
      <c r="M2082">
        <v>550</v>
      </c>
      <c r="AG2082">
        <v>2387.1</v>
      </c>
      <c r="AH2082" s="1">
        <v>41341</v>
      </c>
      <c r="AI2082" s="1">
        <v>41579</v>
      </c>
      <c r="AJ2082" s="1">
        <v>41341</v>
      </c>
    </row>
    <row r="2083" spans="1:36" ht="15">
      <c r="A2083" t="str">
        <f>"1903823C6D"</f>
        <v>1903823C6D</v>
      </c>
      <c r="B2083" t="str">
        <f t="shared" si="77"/>
        <v>02406911202</v>
      </c>
      <c r="C2083" t="s">
        <v>13</v>
      </c>
      <c r="D2083" t="s">
        <v>930</v>
      </c>
      <c r="E2083" t="s">
        <v>1516</v>
      </c>
      <c r="F2083" t="s">
        <v>796</v>
      </c>
      <c r="G2083" t="str">
        <f>"03597020373"</f>
        <v>03597020373</v>
      </c>
      <c r="I2083" t="s">
        <v>100</v>
      </c>
      <c r="L2083" t="s">
        <v>41</v>
      </c>
      <c r="M2083">
        <v>15000</v>
      </c>
      <c r="AG2083">
        <v>9965.5</v>
      </c>
      <c r="AH2083" s="1">
        <v>41339</v>
      </c>
      <c r="AI2083" s="1">
        <v>41594</v>
      </c>
      <c r="AJ2083" s="1">
        <v>41339</v>
      </c>
    </row>
    <row r="2084" spans="1:36" ht="15">
      <c r="A2084" t="str">
        <f>"19238467EF"</f>
        <v>19238467EF</v>
      </c>
      <c r="B2084" t="str">
        <f t="shared" si="77"/>
        <v>02406911202</v>
      </c>
      <c r="C2084" t="s">
        <v>13</v>
      </c>
      <c r="D2084" t="s">
        <v>930</v>
      </c>
      <c r="E2084" t="s">
        <v>1507</v>
      </c>
      <c r="F2084" t="s">
        <v>796</v>
      </c>
      <c r="G2084" t="str">
        <f>"00495451205"</f>
        <v>00495451205</v>
      </c>
      <c r="I2084" t="s">
        <v>183</v>
      </c>
      <c r="L2084" t="s">
        <v>41</v>
      </c>
      <c r="M2084">
        <v>1618</v>
      </c>
      <c r="AG2084">
        <v>18377.74</v>
      </c>
      <c r="AH2084" s="1">
        <v>41421</v>
      </c>
      <c r="AI2084" s="1">
        <v>41636</v>
      </c>
      <c r="AJ2084" s="1">
        <v>41421</v>
      </c>
    </row>
    <row r="2085" spans="1:36" ht="15">
      <c r="A2085" t="str">
        <f>"1953633CF0"</f>
        <v>1953633CF0</v>
      </c>
      <c r="B2085" t="str">
        <f t="shared" si="77"/>
        <v>02406911202</v>
      </c>
      <c r="C2085" t="s">
        <v>13</v>
      </c>
      <c r="D2085" t="s">
        <v>930</v>
      </c>
      <c r="E2085" t="s">
        <v>1507</v>
      </c>
      <c r="F2085" t="s">
        <v>796</v>
      </c>
      <c r="G2085" t="str">
        <f>"07240580154"</f>
        <v>07240580154</v>
      </c>
      <c r="I2085" t="s">
        <v>1517</v>
      </c>
      <c r="L2085" t="s">
        <v>41</v>
      </c>
      <c r="M2085">
        <v>225</v>
      </c>
      <c r="AG2085">
        <v>225</v>
      </c>
      <c r="AH2085" s="1">
        <v>41299</v>
      </c>
      <c r="AI2085" s="1">
        <v>41309</v>
      </c>
      <c r="AJ2085" s="1">
        <v>41299</v>
      </c>
    </row>
    <row r="2086" spans="1:36" ht="15">
      <c r="A2086" t="str">
        <f>"2020115B9F"</f>
        <v>2020115B9F</v>
      </c>
      <c r="B2086" t="str">
        <f t="shared" si="77"/>
        <v>02406911202</v>
      </c>
      <c r="C2086" t="s">
        <v>13</v>
      </c>
      <c r="D2086" t="s">
        <v>930</v>
      </c>
      <c r="E2086" t="s">
        <v>1518</v>
      </c>
      <c r="F2086" t="s">
        <v>796</v>
      </c>
      <c r="G2086" t="str">
        <f>"00749080370"</f>
        <v>00749080370</v>
      </c>
      <c r="I2086" t="s">
        <v>1519</v>
      </c>
      <c r="L2086" t="s">
        <v>41</v>
      </c>
      <c r="M2086">
        <v>6000</v>
      </c>
      <c r="AG2086">
        <v>1746.15</v>
      </c>
      <c r="AH2086" s="1">
        <v>41288</v>
      </c>
      <c r="AI2086" s="1">
        <v>41459</v>
      </c>
      <c r="AJ2086" s="1">
        <v>41288</v>
      </c>
    </row>
    <row r="2087" spans="1:36" ht="15">
      <c r="A2087" t="str">
        <f>"20422527A8"</f>
        <v>20422527A8</v>
      </c>
      <c r="B2087" t="str">
        <f t="shared" si="77"/>
        <v>02406911202</v>
      </c>
      <c r="C2087" t="s">
        <v>13</v>
      </c>
      <c r="D2087" t="s">
        <v>930</v>
      </c>
      <c r="E2087" t="s">
        <v>1520</v>
      </c>
      <c r="F2087" t="s">
        <v>796</v>
      </c>
      <c r="G2087" t="str">
        <f>"02200990352"</f>
        <v>02200990352</v>
      </c>
      <c r="I2087" t="s">
        <v>162</v>
      </c>
      <c r="L2087" t="s">
        <v>41</v>
      </c>
      <c r="M2087">
        <v>8000</v>
      </c>
      <c r="AG2087">
        <v>3360</v>
      </c>
      <c r="AH2087" s="1">
        <v>41285</v>
      </c>
      <c r="AI2087" s="1">
        <v>41347</v>
      </c>
      <c r="AJ2087" s="1">
        <v>41285</v>
      </c>
    </row>
    <row r="2088" spans="1:36" ht="15">
      <c r="A2088" t="str">
        <f>"2042741B30"</f>
        <v>2042741B30</v>
      </c>
      <c r="B2088" t="str">
        <f t="shared" si="77"/>
        <v>02406911202</v>
      </c>
      <c r="C2088" t="s">
        <v>13</v>
      </c>
      <c r="D2088" t="s">
        <v>930</v>
      </c>
      <c r="E2088" t="s">
        <v>1510</v>
      </c>
      <c r="F2088" t="s">
        <v>796</v>
      </c>
      <c r="G2088" t="str">
        <f>"05131180969"</f>
        <v>05131180969</v>
      </c>
      <c r="I2088" t="s">
        <v>516</v>
      </c>
      <c r="L2088" t="s">
        <v>41</v>
      </c>
      <c r="M2088">
        <v>8000</v>
      </c>
      <c r="AG2088">
        <v>7329</v>
      </c>
      <c r="AH2088" s="1">
        <v>41568</v>
      </c>
      <c r="AI2088" s="1">
        <v>41578</v>
      </c>
      <c r="AJ2088" s="1">
        <v>41568</v>
      </c>
    </row>
    <row r="2089" spans="1:36" ht="15">
      <c r="A2089" t="str">
        <f>"210528367C"</f>
        <v>210528367C</v>
      </c>
      <c r="B2089" t="str">
        <f t="shared" si="77"/>
        <v>02406911202</v>
      </c>
      <c r="C2089" t="s">
        <v>13</v>
      </c>
      <c r="D2089" t="s">
        <v>930</v>
      </c>
      <c r="E2089" t="s">
        <v>1521</v>
      </c>
      <c r="F2089" t="s">
        <v>796</v>
      </c>
      <c r="G2089" t="str">
        <f>"01670070380"</f>
        <v>01670070380</v>
      </c>
      <c r="I2089" t="s">
        <v>951</v>
      </c>
      <c r="L2089" t="s">
        <v>41</v>
      </c>
      <c r="M2089">
        <v>510.96</v>
      </c>
      <c r="AG2089">
        <v>510.96</v>
      </c>
      <c r="AH2089" s="1">
        <v>41584</v>
      </c>
      <c r="AI2089" s="1">
        <v>41594</v>
      </c>
      <c r="AJ2089" s="1">
        <v>41584</v>
      </c>
    </row>
    <row r="2090" spans="1:36" ht="15">
      <c r="A2090" t="str">
        <f>"21300458BB"</f>
        <v>21300458BB</v>
      </c>
      <c r="B2090" t="str">
        <f t="shared" si="77"/>
        <v>02406911202</v>
      </c>
      <c r="C2090" t="s">
        <v>13</v>
      </c>
      <c r="D2090" t="s">
        <v>930</v>
      </c>
      <c r="E2090" t="s">
        <v>1522</v>
      </c>
      <c r="F2090" t="s">
        <v>796</v>
      </c>
      <c r="G2090" t="str">
        <f>"01893311009"</f>
        <v>01893311009</v>
      </c>
      <c r="I2090" t="s">
        <v>1415</v>
      </c>
      <c r="L2090" t="s">
        <v>41</v>
      </c>
      <c r="M2090">
        <v>19900</v>
      </c>
      <c r="AG2090">
        <v>5202.8</v>
      </c>
      <c r="AH2090" s="1">
        <v>41285</v>
      </c>
      <c r="AI2090" s="1">
        <v>41540</v>
      </c>
      <c r="AJ2090" s="1">
        <v>41285</v>
      </c>
    </row>
    <row r="2091" spans="1:36" ht="15">
      <c r="A2091" t="str">
        <f>"2160548C99"</f>
        <v>2160548C99</v>
      </c>
      <c r="B2091" t="str">
        <f t="shared" si="77"/>
        <v>02406911202</v>
      </c>
      <c r="C2091" t="s">
        <v>13</v>
      </c>
      <c r="D2091" t="s">
        <v>930</v>
      </c>
      <c r="E2091" t="s">
        <v>1523</v>
      </c>
      <c r="F2091" t="s">
        <v>796</v>
      </c>
      <c r="G2091" t="str">
        <f>"07817950152"</f>
        <v>07817950152</v>
      </c>
      <c r="I2091" t="s">
        <v>1524</v>
      </c>
      <c r="L2091" t="s">
        <v>41</v>
      </c>
      <c r="M2091">
        <v>312</v>
      </c>
      <c r="AG2091">
        <v>312</v>
      </c>
      <c r="AH2091" s="1">
        <v>41547</v>
      </c>
      <c r="AI2091" s="1">
        <v>41557</v>
      </c>
      <c r="AJ2091" s="1">
        <v>41547</v>
      </c>
    </row>
    <row r="2092" spans="1:36" ht="15">
      <c r="A2092" t="str">
        <f>"222029770A"</f>
        <v>222029770A</v>
      </c>
      <c r="B2092" t="str">
        <f t="shared" si="77"/>
        <v>02406911202</v>
      </c>
      <c r="C2092" t="s">
        <v>13</v>
      </c>
      <c r="D2092" t="s">
        <v>930</v>
      </c>
      <c r="E2092" t="s">
        <v>1525</v>
      </c>
      <c r="F2092" t="s">
        <v>796</v>
      </c>
      <c r="G2092" t="str">
        <f>"02367971203"</f>
        <v>02367971203</v>
      </c>
      <c r="I2092" t="s">
        <v>1526</v>
      </c>
      <c r="L2092" t="s">
        <v>41</v>
      </c>
      <c r="M2092">
        <v>195</v>
      </c>
      <c r="AG2092">
        <v>195</v>
      </c>
      <c r="AH2092" s="1">
        <v>41465</v>
      </c>
      <c r="AI2092" s="1">
        <v>41475</v>
      </c>
      <c r="AJ2092" s="1">
        <v>41465</v>
      </c>
    </row>
    <row r="2093" spans="1:36" ht="15">
      <c r="A2093" t="str">
        <f>"222050852A"</f>
        <v>222050852A</v>
      </c>
      <c r="B2093" t="str">
        <f t="shared" si="77"/>
        <v>02406911202</v>
      </c>
      <c r="C2093" t="s">
        <v>13</v>
      </c>
      <c r="D2093" t="s">
        <v>930</v>
      </c>
      <c r="E2093" t="s">
        <v>1527</v>
      </c>
      <c r="F2093" t="s">
        <v>796</v>
      </c>
      <c r="G2093" t="str">
        <f>"09328790150"</f>
        <v>09328790150</v>
      </c>
      <c r="I2093" t="s">
        <v>1068</v>
      </c>
      <c r="L2093" t="s">
        <v>41</v>
      </c>
      <c r="M2093">
        <v>10000</v>
      </c>
      <c r="AG2093">
        <v>4400</v>
      </c>
      <c r="AH2093" s="1">
        <v>41379</v>
      </c>
      <c r="AI2093" s="1">
        <v>41530</v>
      </c>
      <c r="AJ2093" s="1">
        <v>41379</v>
      </c>
    </row>
    <row r="2094" spans="1:36" ht="15">
      <c r="A2094" t="str">
        <f>"2220637F9B"</f>
        <v>2220637F9B</v>
      </c>
      <c r="B2094" t="str">
        <f t="shared" si="77"/>
        <v>02406911202</v>
      </c>
      <c r="C2094" t="s">
        <v>13</v>
      </c>
      <c r="D2094" t="s">
        <v>930</v>
      </c>
      <c r="E2094" t="s">
        <v>1528</v>
      </c>
      <c r="F2094" t="s">
        <v>796</v>
      </c>
      <c r="G2094" t="str">
        <f>"00487701203"</f>
        <v>00487701203</v>
      </c>
      <c r="I2094" t="s">
        <v>1529</v>
      </c>
      <c r="L2094" t="s">
        <v>41</v>
      </c>
      <c r="M2094">
        <v>1620</v>
      </c>
      <c r="AG2094">
        <v>1944</v>
      </c>
      <c r="AH2094" s="1">
        <v>41283</v>
      </c>
      <c r="AI2094" s="1">
        <v>41523</v>
      </c>
      <c r="AJ2094" s="1">
        <v>41283</v>
      </c>
    </row>
    <row r="2095" spans="1:36" ht="15">
      <c r="A2095" t="str">
        <f>"231382659D"</f>
        <v>231382659D</v>
      </c>
      <c r="B2095" t="str">
        <f t="shared" si="77"/>
        <v>02406911202</v>
      </c>
      <c r="C2095" t="s">
        <v>13</v>
      </c>
      <c r="D2095" t="s">
        <v>930</v>
      </c>
      <c r="E2095" t="s">
        <v>1510</v>
      </c>
      <c r="F2095" t="s">
        <v>796</v>
      </c>
      <c r="G2095" t="str">
        <f>"01814920136"</f>
        <v>01814920136</v>
      </c>
      <c r="I2095" t="s">
        <v>1530</v>
      </c>
      <c r="L2095" t="s">
        <v>41</v>
      </c>
      <c r="M2095">
        <v>350</v>
      </c>
      <c r="AG2095">
        <v>350</v>
      </c>
      <c r="AH2095" s="1">
        <v>41533</v>
      </c>
      <c r="AI2095" s="1">
        <v>41543</v>
      </c>
      <c r="AJ2095" s="1">
        <v>41533</v>
      </c>
    </row>
    <row r="2096" spans="1:36" ht="15">
      <c r="A2096" t="str">
        <f>"23520984AB"</f>
        <v>23520984AB</v>
      </c>
      <c r="B2096" t="str">
        <f t="shared" si="77"/>
        <v>02406911202</v>
      </c>
      <c r="C2096" t="s">
        <v>13</v>
      </c>
      <c r="D2096" t="s">
        <v>930</v>
      </c>
      <c r="E2096" t="s">
        <v>1531</v>
      </c>
      <c r="F2096" t="s">
        <v>796</v>
      </c>
      <c r="G2096" t="str">
        <f>"01633870348"</f>
        <v>01633870348</v>
      </c>
      <c r="I2096" t="s">
        <v>164</v>
      </c>
      <c r="L2096" t="s">
        <v>41</v>
      </c>
      <c r="M2096">
        <v>5000</v>
      </c>
      <c r="AG2096">
        <v>2420.5</v>
      </c>
      <c r="AH2096" s="1">
        <v>41285</v>
      </c>
      <c r="AI2096" s="1">
        <v>41614</v>
      </c>
      <c r="AJ2096" s="1">
        <v>41285</v>
      </c>
    </row>
    <row r="2097" spans="1:36" ht="15">
      <c r="A2097" t="str">
        <f>"2356279EED"</f>
        <v>2356279EED</v>
      </c>
      <c r="B2097" t="str">
        <f t="shared" si="77"/>
        <v>02406911202</v>
      </c>
      <c r="C2097" t="s">
        <v>13</v>
      </c>
      <c r="D2097" t="s">
        <v>930</v>
      </c>
      <c r="E2097" t="s">
        <v>1507</v>
      </c>
      <c r="F2097" t="s">
        <v>796</v>
      </c>
      <c r="G2097" t="str">
        <f>"00693931206"</f>
        <v>00693931206</v>
      </c>
      <c r="I2097" t="s">
        <v>987</v>
      </c>
      <c r="L2097" t="s">
        <v>41</v>
      </c>
      <c r="M2097">
        <v>5000</v>
      </c>
      <c r="AG2097">
        <v>587</v>
      </c>
      <c r="AH2097" s="1">
        <v>41318</v>
      </c>
      <c r="AI2097" s="1">
        <v>41328</v>
      </c>
      <c r="AJ2097" s="1">
        <v>41318</v>
      </c>
    </row>
    <row r="2098" spans="1:36" ht="15">
      <c r="A2098" t="str">
        <f>"2356295C22"</f>
        <v>2356295C22</v>
      </c>
      <c r="B2098" t="str">
        <f t="shared" si="77"/>
        <v>02406911202</v>
      </c>
      <c r="C2098" t="s">
        <v>13</v>
      </c>
      <c r="D2098" t="s">
        <v>930</v>
      </c>
      <c r="E2098" t="s">
        <v>1532</v>
      </c>
      <c r="F2098" t="s">
        <v>796</v>
      </c>
      <c r="G2098" t="str">
        <f>"02008340016"</f>
        <v>02008340016</v>
      </c>
      <c r="I2098" t="s">
        <v>947</v>
      </c>
      <c r="L2098" t="s">
        <v>41</v>
      </c>
      <c r="M2098">
        <v>4000</v>
      </c>
      <c r="AG2098">
        <v>4324</v>
      </c>
      <c r="AH2098" s="1">
        <v>41563</v>
      </c>
      <c r="AI2098" s="1">
        <v>41573</v>
      </c>
      <c r="AJ2098" s="1">
        <v>41563</v>
      </c>
    </row>
    <row r="2099" spans="1:36" ht="15">
      <c r="A2099" t="str">
        <f>"23579387FC"</f>
        <v>23579387FC</v>
      </c>
      <c r="B2099" t="str">
        <f t="shared" si="77"/>
        <v>02406911202</v>
      </c>
      <c r="C2099" t="s">
        <v>13</v>
      </c>
      <c r="D2099" t="s">
        <v>930</v>
      </c>
      <c r="E2099" t="s">
        <v>1533</v>
      </c>
      <c r="F2099" t="s">
        <v>796</v>
      </c>
      <c r="G2099" t="str">
        <f>"00622691202"</f>
        <v>00622691202</v>
      </c>
      <c r="I2099" t="s">
        <v>1534</v>
      </c>
      <c r="L2099" t="s">
        <v>41</v>
      </c>
      <c r="M2099">
        <v>842.16</v>
      </c>
      <c r="AG2099">
        <v>842.16</v>
      </c>
      <c r="AH2099" s="1">
        <v>41369</v>
      </c>
      <c r="AI2099" s="1">
        <v>41498</v>
      </c>
      <c r="AJ2099" s="1">
        <v>41369</v>
      </c>
    </row>
    <row r="2100" spans="1:36" ht="15">
      <c r="A2100" t="str">
        <f>"2362075DF0"</f>
        <v>2362075DF0</v>
      </c>
      <c r="B2100" t="str">
        <f t="shared" si="77"/>
        <v>02406911202</v>
      </c>
      <c r="C2100" t="s">
        <v>13</v>
      </c>
      <c r="D2100" t="s">
        <v>930</v>
      </c>
      <c r="E2100" t="s">
        <v>1507</v>
      </c>
      <c r="F2100" t="s">
        <v>796</v>
      </c>
      <c r="G2100" t="str">
        <f>"07297190154"</f>
        <v>07297190154</v>
      </c>
      <c r="I2100" t="s">
        <v>447</v>
      </c>
      <c r="L2100" t="s">
        <v>41</v>
      </c>
      <c r="M2100">
        <v>8000</v>
      </c>
      <c r="AG2100">
        <v>1072.04</v>
      </c>
      <c r="AH2100" s="1">
        <v>41338</v>
      </c>
      <c r="AI2100" s="1">
        <v>41372</v>
      </c>
      <c r="AJ2100" s="1">
        <v>41338</v>
      </c>
    </row>
    <row r="2101" spans="1:36" ht="15">
      <c r="A2101" t="str">
        <f>"24570451AD"</f>
        <v>24570451AD</v>
      </c>
      <c r="B2101" t="str">
        <f t="shared" si="77"/>
        <v>02406911202</v>
      </c>
      <c r="C2101" t="s">
        <v>13</v>
      </c>
      <c r="D2101" t="s">
        <v>930</v>
      </c>
      <c r="E2101" t="s">
        <v>1507</v>
      </c>
      <c r="F2101" t="s">
        <v>796</v>
      </c>
      <c r="G2101" t="str">
        <f>"01326080114"</f>
        <v>01326080114</v>
      </c>
      <c r="I2101" t="s">
        <v>1535</v>
      </c>
      <c r="L2101" t="s">
        <v>41</v>
      </c>
      <c r="M2101">
        <v>638.4</v>
      </c>
      <c r="AG2101">
        <v>638.4</v>
      </c>
      <c r="AH2101" s="1">
        <v>41345</v>
      </c>
      <c r="AI2101" s="1">
        <v>41355</v>
      </c>
      <c r="AJ2101" s="1">
        <v>41345</v>
      </c>
    </row>
    <row r="2102" spans="1:36" ht="15">
      <c r="A2102" t="str">
        <f>"245720340F"</f>
        <v>245720340F</v>
      </c>
      <c r="B2102" t="str">
        <f t="shared" si="77"/>
        <v>02406911202</v>
      </c>
      <c r="C2102" t="s">
        <v>13</v>
      </c>
      <c r="D2102" t="s">
        <v>930</v>
      </c>
      <c r="E2102" t="s">
        <v>1536</v>
      </c>
      <c r="F2102" t="s">
        <v>796</v>
      </c>
      <c r="G2102" t="str">
        <f>"05653560960"</f>
        <v>05653560960</v>
      </c>
      <c r="I2102" t="s">
        <v>475</v>
      </c>
      <c r="L2102" t="s">
        <v>41</v>
      </c>
      <c r="M2102">
        <v>1500</v>
      </c>
      <c r="AG2102">
        <v>1002.87</v>
      </c>
      <c r="AH2102" s="1">
        <v>41422</v>
      </c>
      <c r="AI2102" s="1">
        <v>41432</v>
      </c>
      <c r="AJ2102" s="1">
        <v>41422</v>
      </c>
    </row>
    <row r="2103" spans="1:36" ht="15">
      <c r="A2103" t="str">
        <f>"2520370AAD"</f>
        <v>2520370AAD</v>
      </c>
      <c r="B2103" t="str">
        <f t="shared" si="77"/>
        <v>02406911202</v>
      </c>
      <c r="C2103" t="s">
        <v>13</v>
      </c>
      <c r="D2103" t="s">
        <v>930</v>
      </c>
      <c r="E2103" t="s">
        <v>1511</v>
      </c>
      <c r="F2103" t="s">
        <v>796</v>
      </c>
      <c r="G2103" t="str">
        <f>"10748060018"</f>
        <v>10748060018</v>
      </c>
      <c r="I2103" t="s">
        <v>583</v>
      </c>
      <c r="L2103" t="s">
        <v>41</v>
      </c>
      <c r="M2103">
        <v>2250</v>
      </c>
      <c r="AG2103">
        <v>2250</v>
      </c>
      <c r="AH2103" s="1">
        <v>41556</v>
      </c>
      <c r="AI2103" s="1">
        <v>41608</v>
      </c>
      <c r="AJ2103" s="1">
        <v>41556</v>
      </c>
    </row>
    <row r="2104" spans="1:36" ht="15">
      <c r="A2104" t="str">
        <f>"3948221F06"</f>
        <v>3948221F06</v>
      </c>
      <c r="B2104" t="str">
        <f t="shared" si="77"/>
        <v>02406911202</v>
      </c>
      <c r="C2104" t="s">
        <v>13</v>
      </c>
      <c r="D2104" t="s">
        <v>930</v>
      </c>
      <c r="E2104" t="s">
        <v>1537</v>
      </c>
      <c r="F2104" t="s">
        <v>796</v>
      </c>
      <c r="G2104" t="str">
        <f>"00829840156"</f>
        <v>00829840156</v>
      </c>
      <c r="I2104" t="s">
        <v>272</v>
      </c>
      <c r="L2104" t="s">
        <v>41</v>
      </c>
      <c r="M2104">
        <v>290</v>
      </c>
      <c r="AG2104">
        <v>4610.64</v>
      </c>
      <c r="AH2104" s="1">
        <v>41358</v>
      </c>
      <c r="AI2104" s="1">
        <v>41368</v>
      </c>
      <c r="AJ2104" s="1">
        <v>41358</v>
      </c>
    </row>
    <row r="2105" spans="1:36" ht="15">
      <c r="A2105" t="str">
        <f>"4560378EF6"</f>
        <v>4560378EF6</v>
      </c>
      <c r="B2105" t="str">
        <f t="shared" si="77"/>
        <v>02406911202</v>
      </c>
      <c r="C2105" t="s">
        <v>13</v>
      </c>
      <c r="D2105" t="s">
        <v>930</v>
      </c>
      <c r="E2105" t="s">
        <v>1510</v>
      </c>
      <c r="F2105" t="s">
        <v>796</v>
      </c>
      <c r="G2105" t="str">
        <f>"05297730961"</f>
        <v>05297730961</v>
      </c>
      <c r="I2105" t="s">
        <v>435</v>
      </c>
      <c r="L2105" t="s">
        <v>41</v>
      </c>
      <c r="M2105">
        <v>201</v>
      </c>
      <c r="AG2105">
        <v>17985</v>
      </c>
      <c r="AH2105" s="1">
        <v>41292</v>
      </c>
      <c r="AI2105" s="1">
        <v>41630</v>
      </c>
      <c r="AJ2105" s="1">
        <v>41292</v>
      </c>
    </row>
    <row r="2106" spans="1:36" ht="15">
      <c r="A2106" t="str">
        <f>"Z0104BF7DE"</f>
        <v>Z0104BF7DE</v>
      </c>
      <c r="B2106" t="str">
        <f t="shared" si="77"/>
        <v>02406911202</v>
      </c>
      <c r="C2106" t="s">
        <v>13</v>
      </c>
      <c r="D2106" t="s">
        <v>930</v>
      </c>
      <c r="E2106" t="s">
        <v>1538</v>
      </c>
      <c r="F2106" t="s">
        <v>796</v>
      </c>
      <c r="G2106" t="str">
        <f>"03597020373"</f>
        <v>03597020373</v>
      </c>
      <c r="I2106" t="s">
        <v>100</v>
      </c>
      <c r="L2106" t="s">
        <v>41</v>
      </c>
      <c r="M2106">
        <v>19900</v>
      </c>
      <c r="AG2106">
        <v>15923.5</v>
      </c>
      <c r="AH2106" s="1">
        <v>41281</v>
      </c>
      <c r="AI2106" s="1">
        <v>41397</v>
      </c>
      <c r="AJ2106" s="1">
        <v>41281</v>
      </c>
    </row>
    <row r="2107" spans="1:36" ht="15">
      <c r="A2107" t="str">
        <f>"Z030AAB44D"</f>
        <v>Z030AAB44D</v>
      </c>
      <c r="B2107" t="str">
        <f t="shared" si="77"/>
        <v>02406911202</v>
      </c>
      <c r="C2107" t="s">
        <v>13</v>
      </c>
      <c r="D2107" t="s">
        <v>930</v>
      </c>
      <c r="E2107" t="s">
        <v>1508</v>
      </c>
      <c r="F2107" t="s">
        <v>796</v>
      </c>
      <c r="G2107" t="str">
        <f>"01760161206"</f>
        <v>01760161206</v>
      </c>
      <c r="I2107" t="s">
        <v>1539</v>
      </c>
      <c r="L2107" t="s">
        <v>41</v>
      </c>
      <c r="M2107">
        <v>93.8</v>
      </c>
      <c r="AG2107">
        <v>93.8</v>
      </c>
      <c r="AH2107" s="1">
        <v>41460</v>
      </c>
      <c r="AI2107" s="1">
        <v>41470</v>
      </c>
      <c r="AJ2107" s="1">
        <v>41460</v>
      </c>
    </row>
    <row r="2108" spans="1:36" ht="15">
      <c r="A2108" t="str">
        <f>"Z05019ESF6"</f>
        <v>Z05019ESF6</v>
      </c>
      <c r="B2108" t="str">
        <f t="shared" si="77"/>
        <v>02406911202</v>
      </c>
      <c r="C2108" t="s">
        <v>13</v>
      </c>
      <c r="D2108" t="s">
        <v>930</v>
      </c>
      <c r="E2108" t="s">
        <v>1507</v>
      </c>
      <c r="F2108" t="s">
        <v>796</v>
      </c>
      <c r="G2108" t="str">
        <f>"12384150152"</f>
        <v>12384150152</v>
      </c>
      <c r="I2108" t="s">
        <v>585</v>
      </c>
      <c r="L2108" t="s">
        <v>41</v>
      </c>
      <c r="M2108">
        <v>990</v>
      </c>
      <c r="AG2108">
        <v>990</v>
      </c>
      <c r="AH2108" s="1">
        <v>41457</v>
      </c>
      <c r="AI2108" s="1">
        <v>41467</v>
      </c>
      <c r="AJ2108" s="1">
        <v>41457</v>
      </c>
    </row>
    <row r="2109" spans="1:36" ht="15">
      <c r="A2109" t="str">
        <f>"Z06036F36C"</f>
        <v>Z06036F36C</v>
      </c>
      <c r="B2109" t="str">
        <f t="shared" si="77"/>
        <v>02406911202</v>
      </c>
      <c r="C2109" t="s">
        <v>13</v>
      </c>
      <c r="D2109" t="s">
        <v>930</v>
      </c>
      <c r="E2109" t="s">
        <v>1540</v>
      </c>
      <c r="F2109" t="s">
        <v>796</v>
      </c>
      <c r="G2109" t="str">
        <f>"02835291200"</f>
        <v>02835291200</v>
      </c>
      <c r="I2109" t="s">
        <v>971</v>
      </c>
      <c r="L2109" t="s">
        <v>41</v>
      </c>
      <c r="M2109">
        <v>1000</v>
      </c>
      <c r="AG2109">
        <v>1095.24</v>
      </c>
      <c r="AH2109" s="1">
        <v>41311</v>
      </c>
      <c r="AI2109" s="1">
        <v>41441</v>
      </c>
      <c r="AJ2109" s="1">
        <v>41311</v>
      </c>
    </row>
    <row r="2110" spans="1:36" ht="15">
      <c r="A2110" t="str">
        <f>"Z0609AE0D5"</f>
        <v>Z0609AE0D5</v>
      </c>
      <c r="B2110" t="str">
        <f t="shared" si="77"/>
        <v>02406911202</v>
      </c>
      <c r="C2110" t="s">
        <v>13</v>
      </c>
      <c r="D2110" t="s">
        <v>930</v>
      </c>
      <c r="E2110" t="s">
        <v>1541</v>
      </c>
      <c r="F2110" t="s">
        <v>796</v>
      </c>
      <c r="G2110" t="str">
        <f>"01863210991"</f>
        <v>01863210991</v>
      </c>
      <c r="I2110" t="s">
        <v>1542</v>
      </c>
      <c r="L2110" t="s">
        <v>41</v>
      </c>
      <c r="M2110">
        <v>280</v>
      </c>
      <c r="AG2110">
        <v>280</v>
      </c>
      <c r="AH2110" s="1">
        <v>41393</v>
      </c>
      <c r="AI2110" s="1">
        <v>41403</v>
      </c>
      <c r="AJ2110" s="1">
        <v>41393</v>
      </c>
    </row>
    <row r="2111" spans="1:36" ht="15">
      <c r="A2111" t="str">
        <f>"Z060C7EB25"</f>
        <v>Z060C7EB25</v>
      </c>
      <c r="B2111" t="str">
        <f t="shared" si="77"/>
        <v>02406911202</v>
      </c>
      <c r="C2111" t="s">
        <v>13</v>
      </c>
      <c r="D2111" t="s">
        <v>930</v>
      </c>
      <c r="E2111" t="s">
        <v>1543</v>
      </c>
      <c r="F2111" t="s">
        <v>796</v>
      </c>
      <c r="G2111" t="str">
        <f>"00196791206"</f>
        <v>00196791206</v>
      </c>
      <c r="I2111" t="s">
        <v>1544</v>
      </c>
      <c r="L2111" t="s">
        <v>41</v>
      </c>
      <c r="M2111">
        <v>1000</v>
      </c>
      <c r="AG2111">
        <v>726.21</v>
      </c>
      <c r="AH2111" s="1">
        <v>41598</v>
      </c>
      <c r="AI2111" s="1">
        <v>42303</v>
      </c>
      <c r="AJ2111" s="1">
        <v>41598</v>
      </c>
    </row>
    <row r="2112" spans="1:36" ht="15">
      <c r="A2112" t="str">
        <f>"Z0709D5595"</f>
        <v>Z0709D5595</v>
      </c>
      <c r="B2112" t="str">
        <f t="shared" si="77"/>
        <v>02406911202</v>
      </c>
      <c r="C2112" t="s">
        <v>13</v>
      </c>
      <c r="D2112" t="s">
        <v>930</v>
      </c>
      <c r="E2112" t="s">
        <v>1545</v>
      </c>
      <c r="F2112" t="s">
        <v>796</v>
      </c>
      <c r="G2112" t="str">
        <f>"01703181204"</f>
        <v>01703181204</v>
      </c>
      <c r="I2112" t="s">
        <v>1546</v>
      </c>
      <c r="L2112" t="s">
        <v>41</v>
      </c>
      <c r="M2112">
        <v>5014</v>
      </c>
      <c r="AG2112">
        <v>5013.83</v>
      </c>
      <c r="AH2112" s="1">
        <v>41402</v>
      </c>
      <c r="AI2112" s="1">
        <v>41599</v>
      </c>
      <c r="AJ2112" s="1">
        <v>41402</v>
      </c>
    </row>
    <row r="2113" spans="1:36" ht="15">
      <c r="A2113" t="str">
        <f>"Z070B3FE09"</f>
        <v>Z070B3FE09</v>
      </c>
      <c r="B2113" t="str">
        <f t="shared" si="77"/>
        <v>02406911202</v>
      </c>
      <c r="C2113" t="s">
        <v>13</v>
      </c>
      <c r="D2113" t="s">
        <v>930</v>
      </c>
      <c r="E2113" t="s">
        <v>1547</v>
      </c>
      <c r="F2113" t="s">
        <v>796</v>
      </c>
      <c r="G2113" t="str">
        <f>"02469801209"</f>
        <v>02469801209</v>
      </c>
      <c r="I2113" t="s">
        <v>1548</v>
      </c>
      <c r="L2113" t="s">
        <v>41</v>
      </c>
      <c r="M2113">
        <v>936</v>
      </c>
      <c r="AG2113">
        <v>936</v>
      </c>
      <c r="AH2113" s="1">
        <v>41509</v>
      </c>
      <c r="AI2113" s="1">
        <v>41608</v>
      </c>
      <c r="AJ2113" s="1">
        <v>41509</v>
      </c>
    </row>
    <row r="2114" spans="1:36" ht="15">
      <c r="A2114" t="str">
        <f>"Z0900C7C43"</f>
        <v>Z0900C7C43</v>
      </c>
      <c r="B2114" t="str">
        <f aca="true" t="shared" si="78" ref="B2114:B2177">"02406911202"</f>
        <v>02406911202</v>
      </c>
      <c r="C2114" t="s">
        <v>13</v>
      </c>
      <c r="D2114" t="s">
        <v>930</v>
      </c>
      <c r="E2114" t="s">
        <v>1521</v>
      </c>
      <c r="F2114" t="s">
        <v>796</v>
      </c>
      <c r="G2114" t="str">
        <f>"07227830010"</f>
        <v>07227830010</v>
      </c>
      <c r="I2114" t="s">
        <v>1549</v>
      </c>
      <c r="L2114" t="s">
        <v>41</v>
      </c>
      <c r="M2114">
        <v>310</v>
      </c>
      <c r="AG2114">
        <v>310</v>
      </c>
      <c r="AH2114" s="1">
        <v>41599</v>
      </c>
      <c r="AI2114" s="1">
        <v>41609</v>
      </c>
      <c r="AJ2114" s="1">
        <v>41599</v>
      </c>
    </row>
    <row r="2115" spans="1:36" ht="15">
      <c r="A2115" t="str">
        <f>"Z09036F245"</f>
        <v>Z09036F245</v>
      </c>
      <c r="B2115" t="str">
        <f t="shared" si="78"/>
        <v>02406911202</v>
      </c>
      <c r="C2115" t="s">
        <v>13</v>
      </c>
      <c r="D2115" t="s">
        <v>930</v>
      </c>
      <c r="E2115" t="s">
        <v>1550</v>
      </c>
      <c r="F2115" t="s">
        <v>796</v>
      </c>
      <c r="G2115" t="str">
        <f>"01630000287"</f>
        <v>01630000287</v>
      </c>
      <c r="I2115" t="s">
        <v>1551</v>
      </c>
      <c r="L2115" t="s">
        <v>41</v>
      </c>
      <c r="M2115">
        <v>19900</v>
      </c>
      <c r="AG2115">
        <v>14457.8</v>
      </c>
      <c r="AH2115" s="1">
        <v>41281</v>
      </c>
      <c r="AI2115" s="1">
        <v>41330</v>
      </c>
      <c r="AJ2115" s="1">
        <v>41281</v>
      </c>
    </row>
    <row r="2116" spans="1:36" ht="15">
      <c r="A2116" t="str">
        <f>"Z0905B6A4B"</f>
        <v>Z0905B6A4B</v>
      </c>
      <c r="B2116" t="str">
        <f t="shared" si="78"/>
        <v>02406911202</v>
      </c>
      <c r="C2116" t="s">
        <v>13</v>
      </c>
      <c r="D2116" t="s">
        <v>930</v>
      </c>
      <c r="E2116" t="s">
        <v>1552</v>
      </c>
      <c r="F2116" t="s">
        <v>796</v>
      </c>
      <c r="G2116" t="str">
        <f>"06359950968"</f>
        <v>06359950968</v>
      </c>
      <c r="I2116" t="s">
        <v>1553</v>
      </c>
      <c r="L2116" t="s">
        <v>41</v>
      </c>
      <c r="M2116">
        <v>19900</v>
      </c>
      <c r="AG2116">
        <v>16384</v>
      </c>
      <c r="AH2116" s="1">
        <v>41277</v>
      </c>
      <c r="AI2116" s="1">
        <v>41560</v>
      </c>
      <c r="AJ2116" s="1">
        <v>41277</v>
      </c>
    </row>
    <row r="2117" spans="1:36" ht="15">
      <c r="A2117" t="str">
        <f>"Z090C7EBF4"</f>
        <v>Z090C7EBF4</v>
      </c>
      <c r="B2117" t="str">
        <f t="shared" si="78"/>
        <v>02406911202</v>
      </c>
      <c r="C2117" t="s">
        <v>13</v>
      </c>
      <c r="D2117" t="s">
        <v>930</v>
      </c>
      <c r="E2117" t="s">
        <v>1554</v>
      </c>
      <c r="F2117" t="s">
        <v>796</v>
      </c>
      <c r="G2117" t="str">
        <f>"00640800280"</f>
        <v>00640800280</v>
      </c>
      <c r="I2117" t="s">
        <v>94</v>
      </c>
      <c r="L2117" t="s">
        <v>41</v>
      </c>
      <c r="M2117">
        <v>1810</v>
      </c>
      <c r="AG2117">
        <v>1810</v>
      </c>
      <c r="AH2117" s="1">
        <v>41599</v>
      </c>
      <c r="AI2117" s="1">
        <v>41609</v>
      </c>
      <c r="AJ2117" s="1">
        <v>41599</v>
      </c>
    </row>
    <row r="2118" spans="1:36" ht="15">
      <c r="A2118" t="str">
        <f>"Z0B00BB747"</f>
        <v>Z0B00BB747</v>
      </c>
      <c r="B2118" t="str">
        <f t="shared" si="78"/>
        <v>02406911202</v>
      </c>
      <c r="C2118" t="s">
        <v>13</v>
      </c>
      <c r="D2118" t="s">
        <v>930</v>
      </c>
      <c r="E2118" t="s">
        <v>1507</v>
      </c>
      <c r="F2118" t="s">
        <v>796</v>
      </c>
      <c r="G2118" t="str">
        <f>"02619331206"</f>
        <v>02619331206</v>
      </c>
      <c r="I2118" t="s">
        <v>1555</v>
      </c>
      <c r="L2118" t="s">
        <v>41</v>
      </c>
      <c r="M2118">
        <v>4000</v>
      </c>
      <c r="AG2118">
        <v>1346</v>
      </c>
      <c r="AH2118" s="1">
        <v>41415</v>
      </c>
      <c r="AI2118" s="1">
        <v>41425</v>
      </c>
      <c r="AJ2118" s="1">
        <v>41415</v>
      </c>
    </row>
    <row r="2119" spans="1:36" ht="15">
      <c r="A2119" t="str">
        <f>"Z0C0B1D27A"</f>
        <v>Z0C0B1D27A</v>
      </c>
      <c r="B2119" t="str">
        <f t="shared" si="78"/>
        <v>02406911202</v>
      </c>
      <c r="C2119" t="s">
        <v>13</v>
      </c>
      <c r="D2119" t="s">
        <v>930</v>
      </c>
      <c r="E2119" t="s">
        <v>1556</v>
      </c>
      <c r="F2119" t="s">
        <v>796</v>
      </c>
      <c r="G2119" t="str">
        <f>"01541791206"</f>
        <v>01541791206</v>
      </c>
      <c r="I2119" t="s">
        <v>1557</v>
      </c>
      <c r="L2119" t="s">
        <v>41</v>
      </c>
      <c r="M2119">
        <v>1500</v>
      </c>
      <c r="AG2119">
        <v>1500</v>
      </c>
      <c r="AH2119" s="1">
        <v>41498</v>
      </c>
      <c r="AI2119" s="1">
        <v>41508</v>
      </c>
      <c r="AJ2119" s="1">
        <v>41498</v>
      </c>
    </row>
    <row r="2120" spans="1:36" ht="15">
      <c r="A2120" t="str">
        <f>"Z0E01C03FB"</f>
        <v>Z0E01C03FB</v>
      </c>
      <c r="B2120" t="str">
        <f t="shared" si="78"/>
        <v>02406911202</v>
      </c>
      <c r="C2120" t="s">
        <v>13</v>
      </c>
      <c r="D2120" t="s">
        <v>930</v>
      </c>
      <c r="E2120" t="s">
        <v>1507</v>
      </c>
      <c r="F2120" t="s">
        <v>796</v>
      </c>
      <c r="G2120" t="str">
        <f>"01599811203"</f>
        <v>01599811203</v>
      </c>
      <c r="I2120" t="s">
        <v>1558</v>
      </c>
      <c r="L2120" t="s">
        <v>41</v>
      </c>
      <c r="M2120">
        <v>90.91</v>
      </c>
      <c r="AG2120">
        <v>90.91</v>
      </c>
      <c r="AH2120" s="1">
        <v>41316</v>
      </c>
      <c r="AI2120" s="1">
        <v>41326</v>
      </c>
      <c r="AJ2120" s="1">
        <v>41316</v>
      </c>
    </row>
    <row r="2121" spans="1:36" ht="15">
      <c r="A2121" t="str">
        <f>"Z0E03109C6"</f>
        <v>Z0E03109C6</v>
      </c>
      <c r="B2121" t="str">
        <f t="shared" si="78"/>
        <v>02406911202</v>
      </c>
      <c r="C2121" t="s">
        <v>13</v>
      </c>
      <c r="D2121" t="s">
        <v>930</v>
      </c>
      <c r="E2121" t="s">
        <v>1559</v>
      </c>
      <c r="F2121" t="s">
        <v>796</v>
      </c>
      <c r="G2121" t="str">
        <f>"03546990239"</f>
        <v>03546990239</v>
      </c>
      <c r="I2121" t="s">
        <v>1560</v>
      </c>
      <c r="L2121" t="s">
        <v>41</v>
      </c>
      <c r="M2121">
        <v>19900</v>
      </c>
      <c r="AG2121">
        <v>16481.2</v>
      </c>
      <c r="AH2121" s="1">
        <v>41290</v>
      </c>
      <c r="AI2121" s="1">
        <v>41459</v>
      </c>
      <c r="AJ2121" s="1">
        <v>41290</v>
      </c>
    </row>
    <row r="2122" spans="1:36" ht="15">
      <c r="A2122" t="str">
        <f>"Z0F00C128F"</f>
        <v>Z0F00C128F</v>
      </c>
      <c r="B2122" t="str">
        <f t="shared" si="78"/>
        <v>02406911202</v>
      </c>
      <c r="C2122" t="s">
        <v>13</v>
      </c>
      <c r="D2122" t="s">
        <v>930</v>
      </c>
      <c r="E2122" t="s">
        <v>1561</v>
      </c>
      <c r="F2122" t="s">
        <v>796</v>
      </c>
      <c r="G2122" t="str">
        <f>"02694511201"</f>
        <v>02694511201</v>
      </c>
      <c r="I2122" t="s">
        <v>1562</v>
      </c>
      <c r="L2122" t="s">
        <v>41</v>
      </c>
      <c r="M2122">
        <v>19900</v>
      </c>
      <c r="AG2122">
        <v>6289.45</v>
      </c>
      <c r="AH2122" s="1">
        <v>41305</v>
      </c>
      <c r="AI2122" s="1">
        <v>41406</v>
      </c>
      <c r="AJ2122" s="1">
        <v>41305</v>
      </c>
    </row>
    <row r="2123" spans="1:36" ht="15">
      <c r="A2123" t="str">
        <f>"Z0F00CA892"</f>
        <v>Z0F00CA892</v>
      </c>
      <c r="B2123" t="str">
        <f t="shared" si="78"/>
        <v>02406911202</v>
      </c>
      <c r="C2123" t="s">
        <v>13</v>
      </c>
      <c r="D2123" t="s">
        <v>930</v>
      </c>
      <c r="E2123" t="s">
        <v>1563</v>
      </c>
      <c r="F2123" t="s">
        <v>796</v>
      </c>
      <c r="G2123" t="str">
        <f>"09238800156"</f>
        <v>09238800156</v>
      </c>
      <c r="I2123" t="s">
        <v>257</v>
      </c>
      <c r="L2123" t="s">
        <v>41</v>
      </c>
      <c r="M2123">
        <v>19900</v>
      </c>
      <c r="AG2123">
        <v>10808</v>
      </c>
      <c r="AH2123" s="1">
        <v>41318</v>
      </c>
      <c r="AI2123" s="1">
        <v>41420</v>
      </c>
      <c r="AJ2123" s="1">
        <v>41318</v>
      </c>
    </row>
    <row r="2124" spans="1:36" ht="15">
      <c r="A2124" t="str">
        <f>"Z110321254"</f>
        <v>Z110321254</v>
      </c>
      <c r="B2124" t="str">
        <f t="shared" si="78"/>
        <v>02406911202</v>
      </c>
      <c r="C2124" t="s">
        <v>13</v>
      </c>
      <c r="D2124" t="s">
        <v>930</v>
      </c>
      <c r="E2124" t="s">
        <v>1564</v>
      </c>
      <c r="F2124" t="s">
        <v>796</v>
      </c>
      <c r="G2124" t="str">
        <f>"04181370372"</f>
        <v>04181370372</v>
      </c>
      <c r="I2124" t="s">
        <v>1387</v>
      </c>
      <c r="L2124" t="s">
        <v>41</v>
      </c>
      <c r="M2124">
        <v>10000</v>
      </c>
      <c r="AG2124">
        <v>9967.4</v>
      </c>
      <c r="AH2124" s="1">
        <v>41290</v>
      </c>
      <c r="AI2124" s="1">
        <v>41610</v>
      </c>
      <c r="AJ2124" s="1">
        <v>41290</v>
      </c>
    </row>
    <row r="2125" spans="1:36" ht="15">
      <c r="A2125" t="str">
        <f>"Z11035306E"</f>
        <v>Z11035306E</v>
      </c>
      <c r="B2125" t="str">
        <f t="shared" si="78"/>
        <v>02406911202</v>
      </c>
      <c r="C2125" t="s">
        <v>13</v>
      </c>
      <c r="D2125" t="s">
        <v>930</v>
      </c>
      <c r="E2125" t="s">
        <v>1507</v>
      </c>
      <c r="F2125" t="s">
        <v>796</v>
      </c>
      <c r="G2125" t="str">
        <f>"00098590219"</f>
        <v>00098590219</v>
      </c>
      <c r="I2125" t="s">
        <v>1565</v>
      </c>
      <c r="L2125" t="s">
        <v>41</v>
      </c>
      <c r="M2125">
        <v>1000</v>
      </c>
      <c r="AG2125">
        <v>779.2</v>
      </c>
      <c r="AH2125" s="1">
        <v>41297</v>
      </c>
      <c r="AI2125" s="1">
        <v>41484</v>
      </c>
      <c r="AJ2125" s="1">
        <v>41297</v>
      </c>
    </row>
    <row r="2126" spans="1:36" ht="15">
      <c r="A2126" t="str">
        <f>"Z1300D07C6"</f>
        <v>Z1300D07C6</v>
      </c>
      <c r="B2126" t="str">
        <f t="shared" si="78"/>
        <v>02406911202</v>
      </c>
      <c r="C2126" t="s">
        <v>13</v>
      </c>
      <c r="D2126" t="s">
        <v>930</v>
      </c>
      <c r="E2126" t="s">
        <v>1507</v>
      </c>
      <c r="F2126" t="s">
        <v>796</v>
      </c>
      <c r="G2126" t="str">
        <f>"13181610158"</f>
        <v>13181610158</v>
      </c>
      <c r="I2126" t="s">
        <v>1566</v>
      </c>
      <c r="L2126" t="s">
        <v>41</v>
      </c>
      <c r="M2126">
        <v>1000</v>
      </c>
      <c r="AG2126">
        <v>320.75</v>
      </c>
      <c r="AH2126" s="1">
        <v>41369</v>
      </c>
      <c r="AI2126" s="1">
        <v>41379</v>
      </c>
      <c r="AJ2126" s="1">
        <v>41369</v>
      </c>
    </row>
    <row r="2127" spans="1:36" ht="15">
      <c r="A2127" t="str">
        <f>"Z140A3B0BE"</f>
        <v>Z140A3B0BE</v>
      </c>
      <c r="B2127" t="str">
        <f t="shared" si="78"/>
        <v>02406911202</v>
      </c>
      <c r="C2127" t="s">
        <v>13</v>
      </c>
      <c r="D2127" t="s">
        <v>930</v>
      </c>
      <c r="E2127" t="s">
        <v>1567</v>
      </c>
      <c r="F2127" t="s">
        <v>796</v>
      </c>
      <c r="G2127" t="str">
        <f>"03203781202"</f>
        <v>03203781202</v>
      </c>
      <c r="I2127" t="s">
        <v>1142</v>
      </c>
      <c r="L2127" t="s">
        <v>41</v>
      </c>
      <c r="M2127">
        <v>290</v>
      </c>
      <c r="AG2127">
        <v>290</v>
      </c>
      <c r="AH2127" s="1">
        <v>41430</v>
      </c>
      <c r="AI2127" s="1">
        <v>41440</v>
      </c>
      <c r="AJ2127" s="1">
        <v>41430</v>
      </c>
    </row>
    <row r="2128" spans="1:36" ht="15">
      <c r="A2128" t="str">
        <f>"Z140C734A1"</f>
        <v>Z140C734A1</v>
      </c>
      <c r="B2128" t="str">
        <f t="shared" si="78"/>
        <v>02406911202</v>
      </c>
      <c r="C2128" t="s">
        <v>13</v>
      </c>
      <c r="D2128" t="s">
        <v>930</v>
      </c>
      <c r="E2128" t="s">
        <v>1568</v>
      </c>
      <c r="F2128" t="s">
        <v>796</v>
      </c>
      <c r="G2128" t="str">
        <f>"01921710362"</f>
        <v>01921710362</v>
      </c>
      <c r="I2128" t="s">
        <v>1569</v>
      </c>
      <c r="L2128" t="s">
        <v>41</v>
      </c>
      <c r="M2128">
        <v>420</v>
      </c>
      <c r="AG2128">
        <v>420</v>
      </c>
      <c r="AH2128" s="1">
        <v>41598</v>
      </c>
      <c r="AI2128" s="1">
        <v>41608</v>
      </c>
      <c r="AJ2128" s="1">
        <v>41598</v>
      </c>
    </row>
    <row r="2129" spans="1:36" ht="15">
      <c r="A2129" t="str">
        <f>"Z1504DE683"</f>
        <v>Z1504DE683</v>
      </c>
      <c r="B2129" t="str">
        <f t="shared" si="78"/>
        <v>02406911202</v>
      </c>
      <c r="C2129" t="s">
        <v>13</v>
      </c>
      <c r="D2129" t="s">
        <v>930</v>
      </c>
      <c r="E2129" t="s">
        <v>1570</v>
      </c>
      <c r="F2129" t="s">
        <v>796</v>
      </c>
      <c r="G2129" t="str">
        <f>"02123341204"</f>
        <v>02123341204</v>
      </c>
      <c r="I2129" t="s">
        <v>1571</v>
      </c>
      <c r="L2129" t="s">
        <v>41</v>
      </c>
      <c r="M2129">
        <v>578.5</v>
      </c>
      <c r="AG2129">
        <v>578.5</v>
      </c>
      <c r="AH2129" s="1">
        <v>41390</v>
      </c>
      <c r="AI2129" s="1">
        <v>41400</v>
      </c>
      <c r="AJ2129" s="1">
        <v>41390</v>
      </c>
    </row>
    <row r="2130" spans="1:36" ht="15">
      <c r="A2130" t="str">
        <f>"Z16010074F"</f>
        <v>Z16010074F</v>
      </c>
      <c r="B2130" t="str">
        <f t="shared" si="78"/>
        <v>02406911202</v>
      </c>
      <c r="C2130" t="s">
        <v>13</v>
      </c>
      <c r="D2130" t="s">
        <v>930</v>
      </c>
      <c r="E2130" t="s">
        <v>1572</v>
      </c>
      <c r="F2130" t="s">
        <v>796</v>
      </c>
      <c r="G2130" t="str">
        <f>"02333890289"</f>
        <v>02333890289</v>
      </c>
      <c r="I2130" t="s">
        <v>357</v>
      </c>
      <c r="L2130" t="s">
        <v>41</v>
      </c>
      <c r="M2130">
        <v>3000</v>
      </c>
      <c r="AG2130">
        <v>1562.5</v>
      </c>
      <c r="AH2130" s="1">
        <v>41333</v>
      </c>
      <c r="AI2130" s="1">
        <v>41440</v>
      </c>
      <c r="AJ2130" s="1">
        <v>41333</v>
      </c>
    </row>
    <row r="2131" spans="1:36" ht="15">
      <c r="A2131" t="str">
        <f>"Z160AE25F6"</f>
        <v>Z160AE25F6</v>
      </c>
      <c r="B2131" t="str">
        <f t="shared" si="78"/>
        <v>02406911202</v>
      </c>
      <c r="C2131" t="s">
        <v>13</v>
      </c>
      <c r="D2131" t="s">
        <v>930</v>
      </c>
      <c r="E2131" t="s">
        <v>1573</v>
      </c>
      <c r="F2131" t="s">
        <v>796</v>
      </c>
      <c r="G2131" t="str">
        <f>"02986751200"</f>
        <v>02986751200</v>
      </c>
      <c r="I2131" t="s">
        <v>1574</v>
      </c>
      <c r="L2131" t="s">
        <v>41</v>
      </c>
      <c r="M2131">
        <v>108.27</v>
      </c>
      <c r="AG2131">
        <v>108.27</v>
      </c>
      <c r="AH2131" s="1">
        <v>41478</v>
      </c>
      <c r="AI2131" s="1">
        <v>41488</v>
      </c>
      <c r="AJ2131" s="1">
        <v>41478</v>
      </c>
    </row>
    <row r="2132" spans="1:36" ht="15">
      <c r="A2132" t="str">
        <f>"Z1709B2139"</f>
        <v>Z1709B2139</v>
      </c>
      <c r="B2132" t="str">
        <f t="shared" si="78"/>
        <v>02406911202</v>
      </c>
      <c r="C2132" t="s">
        <v>13</v>
      </c>
      <c r="D2132" t="s">
        <v>930</v>
      </c>
      <c r="E2132" t="s">
        <v>1556</v>
      </c>
      <c r="F2132" t="s">
        <v>796</v>
      </c>
      <c r="G2132" t="str">
        <f>"03218471203"</f>
        <v>03218471203</v>
      </c>
      <c r="I2132" t="s">
        <v>1575</v>
      </c>
      <c r="L2132" t="s">
        <v>41</v>
      </c>
      <c r="M2132">
        <v>661.16</v>
      </c>
      <c r="AG2132">
        <v>0</v>
      </c>
      <c r="AH2132" s="1">
        <v>41415</v>
      </c>
      <c r="AI2132" s="1">
        <v>41425</v>
      </c>
      <c r="AJ2132" s="1">
        <v>41415</v>
      </c>
    </row>
    <row r="2133" spans="1:36" ht="15">
      <c r="A2133" t="str">
        <f>"Z1A06DC55C"</f>
        <v>Z1A06DC55C</v>
      </c>
      <c r="B2133" t="str">
        <f t="shared" si="78"/>
        <v>02406911202</v>
      </c>
      <c r="C2133" t="s">
        <v>13</v>
      </c>
      <c r="D2133" t="s">
        <v>930</v>
      </c>
      <c r="E2133" t="s">
        <v>1576</v>
      </c>
      <c r="F2133" t="s">
        <v>796</v>
      </c>
      <c r="G2133" t="str">
        <f>"01063890394"</f>
        <v>01063890394</v>
      </c>
      <c r="I2133" t="s">
        <v>560</v>
      </c>
      <c r="L2133" t="s">
        <v>41</v>
      </c>
      <c r="M2133">
        <v>19900</v>
      </c>
      <c r="AG2133">
        <v>19846</v>
      </c>
      <c r="AH2133" s="1">
        <v>41285</v>
      </c>
      <c r="AI2133" s="1">
        <v>41413</v>
      </c>
      <c r="AJ2133" s="1">
        <v>41285</v>
      </c>
    </row>
    <row r="2134" spans="1:36" ht="15">
      <c r="A2134" t="str">
        <f>"Z1B00B278A"</f>
        <v>Z1B00B278A</v>
      </c>
      <c r="B2134" t="str">
        <f t="shared" si="78"/>
        <v>02406911202</v>
      </c>
      <c r="C2134" t="s">
        <v>13</v>
      </c>
      <c r="D2134" t="s">
        <v>930</v>
      </c>
      <c r="E2134" t="s">
        <v>1510</v>
      </c>
      <c r="F2134" t="s">
        <v>796</v>
      </c>
      <c r="G2134" t="str">
        <f>"05420450487"</f>
        <v>05420450487</v>
      </c>
      <c r="I2134" t="s">
        <v>1577</v>
      </c>
      <c r="L2134" t="s">
        <v>41</v>
      </c>
      <c r="M2134">
        <v>3000</v>
      </c>
      <c r="AG2134">
        <v>1290</v>
      </c>
      <c r="AH2134" s="1">
        <v>41409</v>
      </c>
      <c r="AI2134" s="1">
        <v>41419</v>
      </c>
      <c r="AJ2134" s="1">
        <v>41409</v>
      </c>
    </row>
    <row r="2135" spans="1:36" ht="15">
      <c r="A2135" t="str">
        <f>"Z1D0C3CA84"</f>
        <v>Z1D0C3CA84</v>
      </c>
      <c r="B2135" t="str">
        <f t="shared" si="78"/>
        <v>02406911202</v>
      </c>
      <c r="C2135" t="s">
        <v>13</v>
      </c>
      <c r="D2135" t="s">
        <v>930</v>
      </c>
      <c r="E2135" t="s">
        <v>1578</v>
      </c>
      <c r="F2135" t="s">
        <v>796</v>
      </c>
      <c r="G2135" t="str">
        <f>"04318750371"</f>
        <v>04318750371</v>
      </c>
      <c r="I2135" t="s">
        <v>1579</v>
      </c>
      <c r="L2135" t="s">
        <v>41</v>
      </c>
      <c r="M2135">
        <v>16492</v>
      </c>
      <c r="AG2135">
        <v>16492</v>
      </c>
      <c r="AH2135" s="1">
        <v>41584</v>
      </c>
      <c r="AI2135" s="1">
        <v>41616</v>
      </c>
      <c r="AJ2135" s="1">
        <v>41584</v>
      </c>
    </row>
    <row r="2136" spans="1:36" ht="15">
      <c r="A2136" t="str">
        <f>"Z20014CFAB"</f>
        <v>Z20014CFAB</v>
      </c>
      <c r="B2136" t="str">
        <f t="shared" si="78"/>
        <v>02406911202</v>
      </c>
      <c r="C2136" t="s">
        <v>13</v>
      </c>
      <c r="D2136" t="s">
        <v>930</v>
      </c>
      <c r="E2136" t="s">
        <v>1580</v>
      </c>
      <c r="F2136" t="s">
        <v>796</v>
      </c>
      <c r="G2136" t="str">
        <f>"04488650484"</f>
        <v>04488650484</v>
      </c>
      <c r="I2136" t="s">
        <v>1406</v>
      </c>
      <c r="L2136" t="s">
        <v>41</v>
      </c>
      <c r="M2136">
        <v>105.5</v>
      </c>
      <c r="AG2136">
        <v>105.5</v>
      </c>
      <c r="AH2136" s="1">
        <v>41345</v>
      </c>
      <c r="AI2136" s="1">
        <v>41355</v>
      </c>
      <c r="AJ2136" s="1">
        <v>41345</v>
      </c>
    </row>
    <row r="2137" spans="1:36" ht="15">
      <c r="A2137" t="str">
        <f>"Z200A52989"</f>
        <v>Z200A52989</v>
      </c>
      <c r="B2137" t="str">
        <f t="shared" si="78"/>
        <v>02406911202</v>
      </c>
      <c r="C2137" t="s">
        <v>13</v>
      </c>
      <c r="D2137" t="s">
        <v>930</v>
      </c>
      <c r="E2137" t="s">
        <v>1541</v>
      </c>
      <c r="F2137" t="s">
        <v>796</v>
      </c>
      <c r="G2137" t="str">
        <f>"02889801201"</f>
        <v>02889801201</v>
      </c>
      <c r="I2137" t="s">
        <v>1581</v>
      </c>
      <c r="L2137" t="s">
        <v>41</v>
      </c>
      <c r="M2137">
        <v>1500</v>
      </c>
      <c r="AG2137">
        <v>1500</v>
      </c>
      <c r="AH2137" s="1">
        <v>41443</v>
      </c>
      <c r="AI2137" s="1">
        <v>41453</v>
      </c>
      <c r="AJ2137" s="1">
        <v>41443</v>
      </c>
    </row>
    <row r="2138" spans="1:36" ht="15">
      <c r="A2138" t="str">
        <f>"Z210877D22"</f>
        <v>Z210877D22</v>
      </c>
      <c r="B2138" t="str">
        <f t="shared" si="78"/>
        <v>02406911202</v>
      </c>
      <c r="C2138" t="s">
        <v>13</v>
      </c>
      <c r="D2138" t="s">
        <v>930</v>
      </c>
      <c r="E2138" t="s">
        <v>1582</v>
      </c>
      <c r="F2138" t="s">
        <v>796</v>
      </c>
      <c r="G2138" t="str">
        <f>"01326080114"</f>
        <v>01326080114</v>
      </c>
      <c r="I2138" t="s">
        <v>1535</v>
      </c>
      <c r="L2138" t="s">
        <v>41</v>
      </c>
      <c r="M2138">
        <v>638.4</v>
      </c>
      <c r="AG2138">
        <v>638.4</v>
      </c>
      <c r="AH2138" s="1">
        <v>41621</v>
      </c>
      <c r="AI2138" s="1">
        <v>41631</v>
      </c>
      <c r="AJ2138" s="1">
        <v>41621</v>
      </c>
    </row>
    <row r="2139" spans="1:36" ht="15">
      <c r="A2139" t="str">
        <f>"Z2500C0CB9"</f>
        <v>Z2500C0CB9</v>
      </c>
      <c r="B2139" t="str">
        <f t="shared" si="78"/>
        <v>02406911202</v>
      </c>
      <c r="C2139" t="s">
        <v>13</v>
      </c>
      <c r="D2139" t="s">
        <v>930</v>
      </c>
      <c r="E2139" t="s">
        <v>1583</v>
      </c>
      <c r="F2139" t="s">
        <v>796</v>
      </c>
      <c r="G2139" t="str">
        <f>"02694511201"</f>
        <v>02694511201</v>
      </c>
      <c r="I2139" t="s">
        <v>1562</v>
      </c>
      <c r="L2139" t="s">
        <v>41</v>
      </c>
      <c r="M2139">
        <v>19900</v>
      </c>
      <c r="AG2139">
        <v>3958.67</v>
      </c>
      <c r="AH2139" s="1">
        <v>41425</v>
      </c>
      <c r="AI2139" s="1">
        <v>41557</v>
      </c>
      <c r="AJ2139" s="1">
        <v>41425</v>
      </c>
    </row>
    <row r="2140" spans="1:36" ht="15">
      <c r="A2140" t="str">
        <f>"Z27033397F"</f>
        <v>Z27033397F</v>
      </c>
      <c r="B2140" t="str">
        <f t="shared" si="78"/>
        <v>02406911202</v>
      </c>
      <c r="C2140" t="s">
        <v>13</v>
      </c>
      <c r="D2140" t="s">
        <v>930</v>
      </c>
      <c r="E2140" t="s">
        <v>1584</v>
      </c>
      <c r="F2140" t="s">
        <v>796</v>
      </c>
      <c r="G2140" t="str">
        <f>"00614941201"</f>
        <v>00614941201</v>
      </c>
      <c r="I2140" t="s">
        <v>1585</v>
      </c>
      <c r="L2140" t="s">
        <v>41</v>
      </c>
      <c r="M2140">
        <v>19900</v>
      </c>
      <c r="AG2140">
        <v>12115.1</v>
      </c>
      <c r="AH2140" s="1">
        <v>41409</v>
      </c>
      <c r="AI2140" s="1">
        <v>41627</v>
      </c>
      <c r="AJ2140" s="1">
        <v>41409</v>
      </c>
    </row>
    <row r="2141" spans="1:36" ht="15">
      <c r="A2141" t="str">
        <f>"Z2908ABEBA"</f>
        <v>Z2908ABEBA</v>
      </c>
      <c r="B2141" t="str">
        <f t="shared" si="78"/>
        <v>02406911202</v>
      </c>
      <c r="C2141" t="s">
        <v>13</v>
      </c>
      <c r="D2141" t="s">
        <v>930</v>
      </c>
      <c r="E2141" t="s">
        <v>1586</v>
      </c>
      <c r="F2141" t="s">
        <v>796</v>
      </c>
      <c r="G2141" t="str">
        <f>"12785290151"</f>
        <v>12785290151</v>
      </c>
      <c r="I2141" t="s">
        <v>1587</v>
      </c>
      <c r="L2141" t="s">
        <v>41</v>
      </c>
      <c r="M2141">
        <v>1946.8</v>
      </c>
      <c r="AG2141">
        <v>1946.8</v>
      </c>
      <c r="AH2141" s="1">
        <v>41319</v>
      </c>
      <c r="AI2141" s="1">
        <v>41614</v>
      </c>
      <c r="AJ2141" s="1">
        <v>41319</v>
      </c>
    </row>
    <row r="2142" spans="1:36" ht="15">
      <c r="A2142" t="str">
        <f>"Z2A00C11FE"</f>
        <v>Z2A00C11FE</v>
      </c>
      <c r="B2142" t="str">
        <f t="shared" si="78"/>
        <v>02406911202</v>
      </c>
      <c r="C2142" t="s">
        <v>13</v>
      </c>
      <c r="D2142" t="s">
        <v>930</v>
      </c>
      <c r="E2142" t="s">
        <v>1588</v>
      </c>
      <c r="F2142" t="s">
        <v>796</v>
      </c>
      <c r="G2142" t="str">
        <f>"00960900371"</f>
        <v>00960900371</v>
      </c>
      <c r="I2142" t="s">
        <v>1589</v>
      </c>
      <c r="L2142" t="s">
        <v>41</v>
      </c>
      <c r="M2142">
        <v>3000</v>
      </c>
      <c r="AG2142">
        <v>1582</v>
      </c>
      <c r="AH2142" s="1">
        <v>41281</v>
      </c>
      <c r="AI2142" s="1">
        <v>41291</v>
      </c>
      <c r="AJ2142" s="1">
        <v>41281</v>
      </c>
    </row>
    <row r="2143" spans="1:36" ht="15">
      <c r="A2143" t="str">
        <f>"Z2A0A5628C"</f>
        <v>Z2A0A5628C</v>
      </c>
      <c r="B2143" t="str">
        <f t="shared" si="78"/>
        <v>02406911202</v>
      </c>
      <c r="C2143" t="s">
        <v>13</v>
      </c>
      <c r="D2143" t="s">
        <v>930</v>
      </c>
      <c r="E2143" t="s">
        <v>1590</v>
      </c>
      <c r="F2143" t="s">
        <v>796</v>
      </c>
      <c r="G2143" t="str">
        <f>"01847860309"</f>
        <v>01847860309</v>
      </c>
      <c r="I2143" t="s">
        <v>939</v>
      </c>
      <c r="L2143" t="s">
        <v>41</v>
      </c>
      <c r="M2143">
        <v>775</v>
      </c>
      <c r="AG2143">
        <v>775</v>
      </c>
      <c r="AH2143" s="1">
        <v>41585</v>
      </c>
      <c r="AI2143" s="1">
        <v>41595</v>
      </c>
      <c r="AJ2143" s="1">
        <v>41585</v>
      </c>
    </row>
    <row r="2144" spans="1:36" ht="15">
      <c r="A2144" t="str">
        <f>"Z2A0C4D7BA"</f>
        <v>Z2A0C4D7BA</v>
      </c>
      <c r="B2144" t="str">
        <f t="shared" si="78"/>
        <v>02406911202</v>
      </c>
      <c r="C2144" t="s">
        <v>13</v>
      </c>
      <c r="D2144" t="s">
        <v>930</v>
      </c>
      <c r="E2144" t="s">
        <v>1556</v>
      </c>
      <c r="F2144" t="s">
        <v>796</v>
      </c>
      <c r="G2144" t="str">
        <f>"03740360379"</f>
        <v>03740360379</v>
      </c>
      <c r="I2144" t="s">
        <v>1591</v>
      </c>
      <c r="L2144" t="s">
        <v>41</v>
      </c>
      <c r="M2144">
        <v>1730.36</v>
      </c>
      <c r="AG2144">
        <v>2899.72</v>
      </c>
      <c r="AH2144" s="1">
        <v>41619</v>
      </c>
      <c r="AI2144" s="1">
        <v>41629</v>
      </c>
      <c r="AJ2144" s="1">
        <v>41619</v>
      </c>
    </row>
    <row r="2145" spans="1:36" ht="15">
      <c r="A2145" t="str">
        <f>"Z2B009A98C"</f>
        <v>Z2B009A98C</v>
      </c>
      <c r="B2145" t="str">
        <f t="shared" si="78"/>
        <v>02406911202</v>
      </c>
      <c r="C2145" t="s">
        <v>13</v>
      </c>
      <c r="D2145" t="s">
        <v>930</v>
      </c>
      <c r="E2145" t="s">
        <v>1525</v>
      </c>
      <c r="F2145" t="s">
        <v>796</v>
      </c>
      <c r="G2145" t="str">
        <f>"01599811203"</f>
        <v>01599811203</v>
      </c>
      <c r="I2145" t="s">
        <v>1558</v>
      </c>
      <c r="L2145" t="s">
        <v>41</v>
      </c>
      <c r="M2145">
        <v>2500</v>
      </c>
      <c r="AG2145">
        <v>1571.09</v>
      </c>
      <c r="AH2145" s="1">
        <v>41290</v>
      </c>
      <c r="AI2145" s="1">
        <v>41376</v>
      </c>
      <c r="AJ2145" s="1">
        <v>41290</v>
      </c>
    </row>
    <row r="2146" spans="1:36" ht="15">
      <c r="A2146" t="str">
        <f>"Z300A90E15"</f>
        <v>Z300A90E15</v>
      </c>
      <c r="B2146" t="str">
        <f t="shared" si="78"/>
        <v>02406911202</v>
      </c>
      <c r="C2146" t="s">
        <v>13</v>
      </c>
      <c r="D2146" t="s">
        <v>930</v>
      </c>
      <c r="E2146" t="s">
        <v>1592</v>
      </c>
      <c r="F2146" t="s">
        <v>796</v>
      </c>
      <c r="G2146" t="str">
        <f>"02753411202"</f>
        <v>02753411202</v>
      </c>
      <c r="I2146" t="s">
        <v>1593</v>
      </c>
      <c r="L2146" t="s">
        <v>41</v>
      </c>
      <c r="M2146">
        <v>514</v>
      </c>
      <c r="AG2146">
        <v>514</v>
      </c>
      <c r="AH2146" s="1">
        <v>41453</v>
      </c>
      <c r="AI2146" s="1">
        <v>41463</v>
      </c>
      <c r="AJ2146" s="1">
        <v>41453</v>
      </c>
    </row>
    <row r="2147" spans="1:36" ht="15">
      <c r="A2147" t="str">
        <f>"Z320B7046E"</f>
        <v>Z320B7046E</v>
      </c>
      <c r="B2147" t="str">
        <f t="shared" si="78"/>
        <v>02406911202</v>
      </c>
      <c r="C2147" t="s">
        <v>13</v>
      </c>
      <c r="D2147" t="s">
        <v>930</v>
      </c>
      <c r="E2147" t="s">
        <v>1541</v>
      </c>
      <c r="F2147" t="s">
        <v>796</v>
      </c>
      <c r="G2147" t="str">
        <f>"03269451203"</f>
        <v>03269451203</v>
      </c>
      <c r="I2147" t="s">
        <v>1594</v>
      </c>
      <c r="L2147" t="s">
        <v>41</v>
      </c>
      <c r="M2147">
        <v>1680</v>
      </c>
      <c r="AG2147">
        <v>1680</v>
      </c>
      <c r="AH2147" s="1">
        <v>41536</v>
      </c>
      <c r="AI2147" s="1">
        <v>41546</v>
      </c>
      <c r="AJ2147" s="1">
        <v>41536</v>
      </c>
    </row>
    <row r="2148" spans="1:36" ht="15">
      <c r="A2148" t="str">
        <f>"Z320CEACC9"</f>
        <v>Z320CEACC9</v>
      </c>
      <c r="B2148" t="str">
        <f t="shared" si="78"/>
        <v>02406911202</v>
      </c>
      <c r="C2148" t="s">
        <v>13</v>
      </c>
      <c r="D2148" t="s">
        <v>930</v>
      </c>
      <c r="E2148" t="s">
        <v>1541</v>
      </c>
      <c r="F2148" t="s">
        <v>796</v>
      </c>
      <c r="G2148" t="str">
        <f>"03073250361"</f>
        <v>03073250361</v>
      </c>
      <c r="I2148" t="s">
        <v>1595</v>
      </c>
      <c r="L2148" t="s">
        <v>41</v>
      </c>
      <c r="M2148">
        <v>1000</v>
      </c>
      <c r="AG2148">
        <v>1000</v>
      </c>
      <c r="AH2148" s="1">
        <v>41621</v>
      </c>
      <c r="AI2148" s="1">
        <v>41631</v>
      </c>
      <c r="AJ2148" s="1">
        <v>41621</v>
      </c>
    </row>
    <row r="2149" spans="1:36" ht="15">
      <c r="A2149" t="str">
        <f>"Z330455571"</f>
        <v>Z330455571</v>
      </c>
      <c r="B2149" t="str">
        <f t="shared" si="78"/>
        <v>02406911202</v>
      </c>
      <c r="C2149" t="s">
        <v>13</v>
      </c>
      <c r="D2149" t="s">
        <v>930</v>
      </c>
      <c r="E2149" t="s">
        <v>1507</v>
      </c>
      <c r="F2149" t="s">
        <v>796</v>
      </c>
      <c r="G2149" t="str">
        <f>"03686920962"</f>
        <v>03686920962</v>
      </c>
      <c r="I2149" t="s">
        <v>1430</v>
      </c>
      <c r="L2149" t="s">
        <v>41</v>
      </c>
      <c r="M2149">
        <v>600</v>
      </c>
      <c r="AG2149">
        <v>600</v>
      </c>
      <c r="AH2149" s="1">
        <v>41361</v>
      </c>
      <c r="AI2149" s="1">
        <v>41371</v>
      </c>
      <c r="AJ2149" s="1">
        <v>41361</v>
      </c>
    </row>
    <row r="2150" spans="1:36" ht="15">
      <c r="A2150" t="str">
        <f>"Z330831E5E"</f>
        <v>Z330831E5E</v>
      </c>
      <c r="B2150" t="str">
        <f t="shared" si="78"/>
        <v>02406911202</v>
      </c>
      <c r="C2150" t="s">
        <v>13</v>
      </c>
      <c r="D2150" t="s">
        <v>930</v>
      </c>
      <c r="E2150" t="s">
        <v>1596</v>
      </c>
      <c r="F2150" t="s">
        <v>796</v>
      </c>
      <c r="G2150" t="str">
        <f>"04918311210"</f>
        <v>04918311210</v>
      </c>
      <c r="I2150" t="s">
        <v>675</v>
      </c>
      <c r="L2150" t="s">
        <v>41</v>
      </c>
      <c r="M2150">
        <v>954</v>
      </c>
      <c r="AG2150">
        <v>954</v>
      </c>
      <c r="AH2150" s="1">
        <v>41291</v>
      </c>
      <c r="AI2150" s="1">
        <v>41425</v>
      </c>
      <c r="AJ2150" s="1">
        <v>41291</v>
      </c>
    </row>
    <row r="2151" spans="1:36" ht="15">
      <c r="A2151" t="str">
        <f>"Z360C19F72"</f>
        <v>Z360C19F72</v>
      </c>
      <c r="B2151" t="str">
        <f t="shared" si="78"/>
        <v>02406911202</v>
      </c>
      <c r="C2151" t="s">
        <v>13</v>
      </c>
      <c r="D2151" t="s">
        <v>930</v>
      </c>
      <c r="E2151" t="s">
        <v>1541</v>
      </c>
      <c r="F2151" t="s">
        <v>796</v>
      </c>
      <c r="G2151" t="str">
        <f>"01068430386"</f>
        <v>01068430386</v>
      </c>
      <c r="I2151" t="s">
        <v>1597</v>
      </c>
      <c r="L2151" t="s">
        <v>41</v>
      </c>
      <c r="M2151">
        <v>7536.7</v>
      </c>
      <c r="AG2151">
        <v>7536.7</v>
      </c>
      <c r="AH2151" s="1">
        <v>41575</v>
      </c>
      <c r="AI2151" s="1">
        <v>41585</v>
      </c>
      <c r="AJ2151" s="1">
        <v>41575</v>
      </c>
    </row>
    <row r="2152" spans="1:36" ht="15">
      <c r="A2152" t="str">
        <f>"Z3A0101103"</f>
        <v>Z3A0101103</v>
      </c>
      <c r="B2152" t="str">
        <f t="shared" si="78"/>
        <v>02406911202</v>
      </c>
      <c r="C2152" t="s">
        <v>13</v>
      </c>
      <c r="D2152" t="s">
        <v>930</v>
      </c>
      <c r="E2152" t="s">
        <v>1510</v>
      </c>
      <c r="F2152" t="s">
        <v>796</v>
      </c>
      <c r="G2152" t="str">
        <f>"01607530209"</f>
        <v>01607530209</v>
      </c>
      <c r="I2152" t="s">
        <v>1598</v>
      </c>
      <c r="L2152" t="s">
        <v>41</v>
      </c>
      <c r="M2152">
        <v>500</v>
      </c>
      <c r="AG2152">
        <v>360</v>
      </c>
      <c r="AH2152" s="1">
        <v>41317</v>
      </c>
      <c r="AI2152" s="1">
        <v>41470</v>
      </c>
      <c r="AJ2152" s="1">
        <v>41317</v>
      </c>
    </row>
    <row r="2153" spans="1:36" ht="15">
      <c r="A2153" t="str">
        <f>"Z3C00F3DC5"</f>
        <v>Z3C00F3DC5</v>
      </c>
      <c r="B2153" t="str">
        <f t="shared" si="78"/>
        <v>02406911202</v>
      </c>
      <c r="C2153" t="s">
        <v>13</v>
      </c>
      <c r="D2153" t="s">
        <v>930</v>
      </c>
      <c r="E2153" t="s">
        <v>1510</v>
      </c>
      <c r="F2153" t="s">
        <v>796</v>
      </c>
      <c r="G2153" t="str">
        <f>"06600500158"</f>
        <v>06600500158</v>
      </c>
      <c r="I2153" t="s">
        <v>176</v>
      </c>
      <c r="L2153" t="s">
        <v>41</v>
      </c>
      <c r="M2153">
        <v>1944</v>
      </c>
      <c r="AG2153">
        <v>1944</v>
      </c>
      <c r="AH2153" s="1">
        <v>41519</v>
      </c>
      <c r="AI2153" s="1">
        <v>41529</v>
      </c>
      <c r="AJ2153" s="1">
        <v>41519</v>
      </c>
    </row>
    <row r="2154" spans="1:36" ht="15">
      <c r="A2154" t="str">
        <f>"Z3C0C8CD7B"</f>
        <v>Z3C0C8CD7B</v>
      </c>
      <c r="B2154" t="str">
        <f t="shared" si="78"/>
        <v>02406911202</v>
      </c>
      <c r="C2154" t="s">
        <v>13</v>
      </c>
      <c r="D2154" t="s">
        <v>930</v>
      </c>
      <c r="E2154" t="s">
        <v>1556</v>
      </c>
      <c r="F2154" t="s">
        <v>796</v>
      </c>
      <c r="G2154" t="str">
        <f>"02172980365"</f>
        <v>02172980365</v>
      </c>
      <c r="I2154" t="s">
        <v>1599</v>
      </c>
      <c r="L2154" t="s">
        <v>41</v>
      </c>
      <c r="M2154">
        <v>209.45</v>
      </c>
      <c r="AG2154">
        <v>209.45</v>
      </c>
      <c r="AH2154" s="1">
        <v>41610</v>
      </c>
      <c r="AI2154" s="1">
        <v>41620</v>
      </c>
      <c r="AJ2154" s="1">
        <v>41610</v>
      </c>
    </row>
    <row r="2155" spans="1:36" ht="15">
      <c r="A2155" t="str">
        <f>"Z3E0681C20"</f>
        <v>Z3E0681C20</v>
      </c>
      <c r="B2155" t="str">
        <f t="shared" si="78"/>
        <v>02406911202</v>
      </c>
      <c r="C2155" t="s">
        <v>13</v>
      </c>
      <c r="D2155" t="s">
        <v>930</v>
      </c>
      <c r="E2155" t="s">
        <v>1600</v>
      </c>
      <c r="F2155" t="s">
        <v>796</v>
      </c>
      <c r="G2155" t="str">
        <f>"00831011200"</f>
        <v>00831011200</v>
      </c>
      <c r="I2155" t="s">
        <v>1601</v>
      </c>
      <c r="L2155" t="s">
        <v>41</v>
      </c>
      <c r="M2155">
        <v>19900</v>
      </c>
      <c r="AG2155">
        <v>7926</v>
      </c>
      <c r="AH2155" s="1">
        <v>41310</v>
      </c>
      <c r="AI2155" s="1">
        <v>41320</v>
      </c>
      <c r="AJ2155" s="1">
        <v>41310</v>
      </c>
    </row>
    <row r="2156" spans="1:36" ht="15">
      <c r="A2156" t="str">
        <f>"Z3F03C9659"</f>
        <v>Z3F03C9659</v>
      </c>
      <c r="B2156" t="str">
        <f t="shared" si="78"/>
        <v>02406911202</v>
      </c>
      <c r="C2156" t="s">
        <v>13</v>
      </c>
      <c r="D2156" t="s">
        <v>930</v>
      </c>
      <c r="E2156" t="s">
        <v>1602</v>
      </c>
      <c r="F2156" t="s">
        <v>796</v>
      </c>
      <c r="G2156" t="str">
        <f>"02475970261"</f>
        <v>02475970261</v>
      </c>
      <c r="I2156" t="s">
        <v>1603</v>
      </c>
      <c r="L2156" t="s">
        <v>41</v>
      </c>
      <c r="M2156">
        <v>1000</v>
      </c>
      <c r="AG2156">
        <v>244</v>
      </c>
      <c r="AH2156" s="1">
        <v>41324</v>
      </c>
      <c r="AI2156" s="1">
        <v>41334</v>
      </c>
      <c r="AJ2156" s="1">
        <v>41324</v>
      </c>
    </row>
    <row r="2157" spans="1:36" ht="15">
      <c r="A2157" t="str">
        <f>"Z3F08FFEFF"</f>
        <v>Z3F08FFEFF</v>
      </c>
      <c r="B2157" t="str">
        <f t="shared" si="78"/>
        <v>02406911202</v>
      </c>
      <c r="C2157" t="s">
        <v>13</v>
      </c>
      <c r="D2157" t="s">
        <v>930</v>
      </c>
      <c r="E2157" t="s">
        <v>1556</v>
      </c>
      <c r="F2157" t="s">
        <v>796</v>
      </c>
      <c r="G2157" t="str">
        <f>"01782740474"</f>
        <v>01782740474</v>
      </c>
      <c r="I2157" t="s">
        <v>1604</v>
      </c>
      <c r="L2157" t="s">
        <v>41</v>
      </c>
      <c r="M2157">
        <v>634.1</v>
      </c>
      <c r="AG2157">
        <v>675</v>
      </c>
      <c r="AH2157" s="1">
        <v>41373</v>
      </c>
      <c r="AI2157" s="1">
        <v>41427</v>
      </c>
      <c r="AJ2157" s="1">
        <v>41373</v>
      </c>
    </row>
    <row r="2158" spans="1:36" ht="15">
      <c r="A2158" t="str">
        <f>"Z3F096C37C"</f>
        <v>Z3F096C37C</v>
      </c>
      <c r="B2158" t="str">
        <f t="shared" si="78"/>
        <v>02406911202</v>
      </c>
      <c r="C2158" t="s">
        <v>13</v>
      </c>
      <c r="D2158" t="s">
        <v>930</v>
      </c>
      <c r="E2158" t="s">
        <v>1605</v>
      </c>
      <c r="F2158" t="s">
        <v>796</v>
      </c>
      <c r="G2158" t="str">
        <f>"02498930987"</f>
        <v>02498930987</v>
      </c>
      <c r="I2158" t="s">
        <v>1606</v>
      </c>
      <c r="L2158" t="s">
        <v>41</v>
      </c>
      <c r="M2158">
        <v>418.6</v>
      </c>
      <c r="AG2158">
        <v>418.6</v>
      </c>
      <c r="AH2158" s="1">
        <v>41373</v>
      </c>
      <c r="AI2158" s="1">
        <v>41383</v>
      </c>
      <c r="AJ2158" s="1">
        <v>41373</v>
      </c>
    </row>
    <row r="2159" spans="1:36" ht="15">
      <c r="A2159" t="str">
        <f>"Z400C48F38"</f>
        <v>Z400C48F38</v>
      </c>
      <c r="B2159" t="str">
        <f t="shared" si="78"/>
        <v>02406911202</v>
      </c>
      <c r="C2159" t="s">
        <v>13</v>
      </c>
      <c r="D2159" t="s">
        <v>930</v>
      </c>
      <c r="E2159" t="s">
        <v>1541</v>
      </c>
      <c r="F2159" t="s">
        <v>796</v>
      </c>
      <c r="G2159" t="str">
        <f>"02007430370"</f>
        <v>02007430370</v>
      </c>
      <c r="I2159" t="s">
        <v>1607</v>
      </c>
      <c r="L2159" t="s">
        <v>41</v>
      </c>
      <c r="M2159">
        <v>314</v>
      </c>
      <c r="AG2159">
        <v>314</v>
      </c>
      <c r="AH2159" s="1">
        <v>41596</v>
      </c>
      <c r="AI2159" s="1">
        <v>41606</v>
      </c>
      <c r="AJ2159" s="1">
        <v>41596</v>
      </c>
    </row>
    <row r="2160" spans="1:36" ht="15">
      <c r="A2160" t="str">
        <f>"Z420635885"</f>
        <v>Z420635885</v>
      </c>
      <c r="B2160" t="str">
        <f t="shared" si="78"/>
        <v>02406911202</v>
      </c>
      <c r="C2160" t="s">
        <v>13</v>
      </c>
      <c r="D2160" t="s">
        <v>930</v>
      </c>
      <c r="E2160" t="s">
        <v>1608</v>
      </c>
      <c r="F2160" t="s">
        <v>796</v>
      </c>
      <c r="G2160" t="str">
        <f>"04219620376"</f>
        <v>04219620376</v>
      </c>
      <c r="I2160" t="s">
        <v>1609</v>
      </c>
      <c r="L2160" t="s">
        <v>41</v>
      </c>
      <c r="M2160">
        <v>10000</v>
      </c>
      <c r="AG2160">
        <v>9381.57</v>
      </c>
      <c r="AH2160" s="1">
        <v>41297</v>
      </c>
      <c r="AI2160" s="1">
        <v>41546</v>
      </c>
      <c r="AJ2160" s="1">
        <v>41297</v>
      </c>
    </row>
    <row r="2161" spans="1:36" ht="15">
      <c r="A2161" t="str">
        <f>"Z420A3892D"</f>
        <v>Z420A3892D</v>
      </c>
      <c r="B2161" t="str">
        <f t="shared" si="78"/>
        <v>02406911202</v>
      </c>
      <c r="C2161" t="s">
        <v>13</v>
      </c>
      <c r="D2161" t="s">
        <v>930</v>
      </c>
      <c r="E2161" t="s">
        <v>1556</v>
      </c>
      <c r="F2161" t="s">
        <v>796</v>
      </c>
      <c r="G2161" t="str">
        <f>"02349471207"</f>
        <v>02349471207</v>
      </c>
      <c r="I2161" t="s">
        <v>1610</v>
      </c>
      <c r="L2161" t="s">
        <v>41</v>
      </c>
      <c r="M2161">
        <v>477.27</v>
      </c>
      <c r="AG2161">
        <v>477.27</v>
      </c>
      <c r="AH2161" s="1">
        <v>41430</v>
      </c>
      <c r="AI2161" s="1">
        <v>41490</v>
      </c>
      <c r="AJ2161" s="1">
        <v>41430</v>
      </c>
    </row>
    <row r="2162" spans="1:36" ht="15">
      <c r="A2162" t="str">
        <f>"Z44013551B"</f>
        <v>Z44013551B</v>
      </c>
      <c r="B2162" t="str">
        <f t="shared" si="78"/>
        <v>02406911202</v>
      </c>
      <c r="C2162" t="s">
        <v>13</v>
      </c>
      <c r="D2162" t="s">
        <v>930</v>
      </c>
      <c r="E2162" t="s">
        <v>1611</v>
      </c>
      <c r="F2162" t="s">
        <v>796</v>
      </c>
      <c r="G2162" t="str">
        <f>"00855260394"</f>
        <v>00855260394</v>
      </c>
      <c r="I2162" t="s">
        <v>1612</v>
      </c>
      <c r="L2162" t="s">
        <v>41</v>
      </c>
      <c r="M2162">
        <v>1899.2</v>
      </c>
      <c r="AG2162">
        <v>1899.2</v>
      </c>
      <c r="AH2162" s="1">
        <v>41379</v>
      </c>
      <c r="AI2162" s="1">
        <v>41389</v>
      </c>
      <c r="AJ2162" s="1">
        <v>41379</v>
      </c>
    </row>
    <row r="2163" spans="1:36" ht="15">
      <c r="A2163" t="str">
        <f>"Z44048AA22"</f>
        <v>Z44048AA22</v>
      </c>
      <c r="B2163" t="str">
        <f t="shared" si="78"/>
        <v>02406911202</v>
      </c>
      <c r="C2163" t="s">
        <v>13</v>
      </c>
      <c r="D2163" t="s">
        <v>930</v>
      </c>
      <c r="E2163" t="s">
        <v>1547</v>
      </c>
      <c r="F2163" t="s">
        <v>796</v>
      </c>
      <c r="G2163" t="str">
        <f>"02469801209"</f>
        <v>02469801209</v>
      </c>
      <c r="I2163" t="s">
        <v>1548</v>
      </c>
      <c r="L2163" t="s">
        <v>41</v>
      </c>
      <c r="M2163">
        <v>1000</v>
      </c>
      <c r="AG2163">
        <v>869.4</v>
      </c>
      <c r="AH2163" s="1">
        <v>41295</v>
      </c>
      <c r="AI2163" s="1">
        <v>41460</v>
      </c>
      <c r="AJ2163" s="1">
        <v>41295</v>
      </c>
    </row>
    <row r="2164" spans="1:36" ht="15">
      <c r="A2164" t="str">
        <f>"Z440663D50"</f>
        <v>Z440663D50</v>
      </c>
      <c r="B2164" t="str">
        <f t="shared" si="78"/>
        <v>02406911202</v>
      </c>
      <c r="C2164" t="s">
        <v>13</v>
      </c>
      <c r="D2164" t="s">
        <v>930</v>
      </c>
      <c r="E2164" t="s">
        <v>1507</v>
      </c>
      <c r="F2164" t="s">
        <v>796</v>
      </c>
      <c r="G2164" t="str">
        <f>"02330970209"</f>
        <v>02330970209</v>
      </c>
      <c r="I2164" t="s">
        <v>1613</v>
      </c>
      <c r="L2164" t="s">
        <v>41</v>
      </c>
      <c r="M2164">
        <v>19900</v>
      </c>
      <c r="AG2164">
        <v>20620.87</v>
      </c>
      <c r="AH2164" s="1">
        <v>41285</v>
      </c>
      <c r="AI2164" s="1">
        <v>41295</v>
      </c>
      <c r="AJ2164" s="1">
        <v>41285</v>
      </c>
    </row>
    <row r="2165" spans="1:36" ht="15">
      <c r="A2165" t="str">
        <f>"Z440C2C27F"</f>
        <v>Z440C2C27F</v>
      </c>
      <c r="B2165" t="str">
        <f t="shared" si="78"/>
        <v>02406911202</v>
      </c>
      <c r="C2165" t="s">
        <v>13</v>
      </c>
      <c r="D2165" t="s">
        <v>930</v>
      </c>
      <c r="E2165" t="s">
        <v>1541</v>
      </c>
      <c r="F2165" t="s">
        <v>796</v>
      </c>
      <c r="G2165" t="str">
        <f>"02729911202"</f>
        <v>02729911202</v>
      </c>
      <c r="I2165" t="s">
        <v>1614</v>
      </c>
      <c r="L2165" t="s">
        <v>41</v>
      </c>
      <c r="M2165">
        <v>370</v>
      </c>
      <c r="AG2165">
        <v>370</v>
      </c>
      <c r="AH2165" s="1">
        <v>41578</v>
      </c>
      <c r="AI2165" s="1">
        <v>41588</v>
      </c>
      <c r="AJ2165" s="1">
        <v>41578</v>
      </c>
    </row>
    <row r="2166" spans="1:36" ht="15">
      <c r="A2166" t="str">
        <f>"Z47008F8C4"</f>
        <v>Z47008F8C4</v>
      </c>
      <c r="B2166" t="str">
        <f t="shared" si="78"/>
        <v>02406911202</v>
      </c>
      <c r="C2166" t="s">
        <v>13</v>
      </c>
      <c r="D2166" t="s">
        <v>930</v>
      </c>
      <c r="E2166" t="s">
        <v>1615</v>
      </c>
      <c r="F2166" t="s">
        <v>796</v>
      </c>
      <c r="G2166" t="str">
        <f>"01885850139"</f>
        <v>01885850139</v>
      </c>
      <c r="I2166" t="s">
        <v>1616</v>
      </c>
      <c r="L2166" t="s">
        <v>41</v>
      </c>
      <c r="M2166">
        <v>500</v>
      </c>
      <c r="AG2166">
        <v>341</v>
      </c>
      <c r="AH2166" s="1">
        <v>41288</v>
      </c>
      <c r="AI2166" s="1">
        <v>41622</v>
      </c>
      <c r="AJ2166" s="1">
        <v>41288</v>
      </c>
    </row>
    <row r="2167" spans="1:36" ht="15">
      <c r="A2167" t="str">
        <f>"Z4703DBFA0"</f>
        <v>Z4703DBFA0</v>
      </c>
      <c r="B2167" t="str">
        <f t="shared" si="78"/>
        <v>02406911202</v>
      </c>
      <c r="C2167" t="s">
        <v>13</v>
      </c>
      <c r="D2167" t="s">
        <v>930</v>
      </c>
      <c r="E2167" t="s">
        <v>1617</v>
      </c>
      <c r="F2167" t="s">
        <v>796</v>
      </c>
      <c r="G2167" t="str">
        <f>"01354901215"</f>
        <v>01354901215</v>
      </c>
      <c r="I2167" t="s">
        <v>1422</v>
      </c>
      <c r="L2167" t="s">
        <v>41</v>
      </c>
      <c r="M2167">
        <v>1000</v>
      </c>
      <c r="AG2167">
        <v>553</v>
      </c>
      <c r="AH2167" s="1">
        <v>41612</v>
      </c>
      <c r="AI2167" s="1">
        <v>41622</v>
      </c>
      <c r="AJ2167" s="1">
        <v>41612</v>
      </c>
    </row>
    <row r="2168" spans="1:36" ht="15">
      <c r="A2168" t="str">
        <f>"Z470B2C8CA"</f>
        <v>Z470B2C8CA</v>
      </c>
      <c r="B2168" t="str">
        <f t="shared" si="78"/>
        <v>02406911202</v>
      </c>
      <c r="C2168" t="s">
        <v>13</v>
      </c>
      <c r="D2168" t="s">
        <v>930</v>
      </c>
      <c r="E2168" t="s">
        <v>1618</v>
      </c>
      <c r="F2168" t="s">
        <v>796</v>
      </c>
      <c r="G2168" t="str">
        <f>"03362950960"</f>
        <v>03362950960</v>
      </c>
      <c r="I2168" t="s">
        <v>609</v>
      </c>
      <c r="L2168" t="s">
        <v>41</v>
      </c>
      <c r="M2168">
        <v>7256</v>
      </c>
      <c r="AG2168">
        <v>7256</v>
      </c>
      <c r="AH2168" s="1">
        <v>41499</v>
      </c>
      <c r="AI2168" s="1">
        <v>41509</v>
      </c>
      <c r="AJ2168" s="1">
        <v>41499</v>
      </c>
    </row>
    <row r="2169" spans="1:36" ht="15">
      <c r="A2169" t="str">
        <f>"Z4A066E0B5"</f>
        <v>Z4A066E0B5</v>
      </c>
      <c r="B2169" t="str">
        <f t="shared" si="78"/>
        <v>02406911202</v>
      </c>
      <c r="C2169" t="s">
        <v>13</v>
      </c>
      <c r="D2169" t="s">
        <v>930</v>
      </c>
      <c r="E2169" t="s">
        <v>1580</v>
      </c>
      <c r="F2169" t="s">
        <v>796</v>
      </c>
      <c r="G2169" t="str">
        <f>"00772930152"</f>
        <v>00772930152</v>
      </c>
      <c r="I2169" t="s">
        <v>1619</v>
      </c>
      <c r="L2169" t="s">
        <v>41</v>
      </c>
      <c r="M2169">
        <v>5000</v>
      </c>
      <c r="AG2169">
        <v>1472</v>
      </c>
      <c r="AH2169" s="1">
        <v>41486</v>
      </c>
      <c r="AI2169" s="1">
        <v>41496</v>
      </c>
      <c r="AJ2169" s="1">
        <v>41486</v>
      </c>
    </row>
    <row r="2170" spans="1:36" ht="15">
      <c r="A2170" t="str">
        <f>"Z4C0A89EFE"</f>
        <v>Z4C0A89EFE</v>
      </c>
      <c r="B2170" t="str">
        <f t="shared" si="78"/>
        <v>02406911202</v>
      </c>
      <c r="C2170" t="s">
        <v>13</v>
      </c>
      <c r="D2170" t="s">
        <v>930</v>
      </c>
      <c r="E2170" t="s">
        <v>1541</v>
      </c>
      <c r="F2170" t="s">
        <v>796</v>
      </c>
      <c r="G2170" t="str">
        <f>"08246360153"</f>
        <v>08246360153</v>
      </c>
      <c r="I2170" t="s">
        <v>1620</v>
      </c>
      <c r="L2170" t="s">
        <v>41</v>
      </c>
      <c r="M2170">
        <v>2186.5</v>
      </c>
      <c r="AG2170">
        <v>2186.5</v>
      </c>
      <c r="AH2170" s="1">
        <v>41453</v>
      </c>
      <c r="AI2170" s="1">
        <v>41463</v>
      </c>
      <c r="AJ2170" s="1">
        <v>41453</v>
      </c>
    </row>
    <row r="2171" spans="1:36" ht="15">
      <c r="A2171" t="str">
        <f>"Z4D0BE3D07"</f>
        <v>Z4D0BE3D07</v>
      </c>
      <c r="B2171" t="str">
        <f t="shared" si="78"/>
        <v>02406911202</v>
      </c>
      <c r="C2171" t="s">
        <v>13</v>
      </c>
      <c r="D2171" t="s">
        <v>930</v>
      </c>
      <c r="E2171" t="s">
        <v>1621</v>
      </c>
      <c r="F2171" t="s">
        <v>796</v>
      </c>
      <c r="G2171" t="str">
        <f>"00494721202"</f>
        <v>00494721202</v>
      </c>
      <c r="I2171" t="s">
        <v>1622</v>
      </c>
      <c r="L2171" t="s">
        <v>41</v>
      </c>
      <c r="M2171">
        <v>3148.8</v>
      </c>
      <c r="AG2171">
        <v>3148.8</v>
      </c>
      <c r="AH2171" s="1">
        <v>41558</v>
      </c>
      <c r="AI2171" s="1">
        <v>41568</v>
      </c>
      <c r="AJ2171" s="1">
        <v>41558</v>
      </c>
    </row>
    <row r="2172" spans="1:36" ht="15">
      <c r="A2172" t="str">
        <f>"Z4E0082DBC"</f>
        <v>Z4E0082DBC</v>
      </c>
      <c r="B2172" t="str">
        <f t="shared" si="78"/>
        <v>02406911202</v>
      </c>
      <c r="C2172" t="s">
        <v>13</v>
      </c>
      <c r="D2172" t="s">
        <v>930</v>
      </c>
      <c r="E2172" t="s">
        <v>1507</v>
      </c>
      <c r="F2172" t="s">
        <v>796</v>
      </c>
      <c r="G2172" t="str">
        <f>"00673881207"</f>
        <v>00673881207</v>
      </c>
      <c r="I2172" t="s">
        <v>1434</v>
      </c>
      <c r="L2172" t="s">
        <v>41</v>
      </c>
      <c r="M2172">
        <v>63</v>
      </c>
      <c r="AG2172">
        <v>63</v>
      </c>
      <c r="AH2172" s="1">
        <v>41564</v>
      </c>
      <c r="AI2172" s="1">
        <v>41574</v>
      </c>
      <c r="AJ2172" s="1">
        <v>41564</v>
      </c>
    </row>
    <row r="2173" spans="1:36" ht="15">
      <c r="A2173" t="str">
        <f>"Z4E0770094"</f>
        <v>Z4E0770094</v>
      </c>
      <c r="B2173" t="str">
        <f t="shared" si="78"/>
        <v>02406911202</v>
      </c>
      <c r="C2173" t="s">
        <v>13</v>
      </c>
      <c r="D2173" t="s">
        <v>930</v>
      </c>
      <c r="E2173" t="s">
        <v>1623</v>
      </c>
      <c r="F2173" t="s">
        <v>796</v>
      </c>
      <c r="G2173" t="str">
        <f>"01847860309"</f>
        <v>01847860309</v>
      </c>
      <c r="I2173" t="s">
        <v>939</v>
      </c>
      <c r="L2173" t="s">
        <v>41</v>
      </c>
      <c r="M2173">
        <v>5000</v>
      </c>
      <c r="AG2173">
        <v>4995.66</v>
      </c>
      <c r="AH2173" s="1">
        <v>41299</v>
      </c>
      <c r="AI2173" s="1">
        <v>41498</v>
      </c>
      <c r="AJ2173" s="1">
        <v>41299</v>
      </c>
    </row>
    <row r="2174" spans="1:36" ht="15">
      <c r="A2174" t="str">
        <f>"Z4F0317484"</f>
        <v>Z4F0317484</v>
      </c>
      <c r="B2174" t="str">
        <f t="shared" si="78"/>
        <v>02406911202</v>
      </c>
      <c r="C2174" t="s">
        <v>13</v>
      </c>
      <c r="D2174" t="s">
        <v>930</v>
      </c>
      <c r="E2174" t="s">
        <v>1624</v>
      </c>
      <c r="F2174" t="s">
        <v>796</v>
      </c>
      <c r="G2174" t="str">
        <f>"01122350380"</f>
        <v>01122350380</v>
      </c>
      <c r="I2174" t="s">
        <v>163</v>
      </c>
      <c r="L2174" t="s">
        <v>41</v>
      </c>
      <c r="M2174">
        <v>19900</v>
      </c>
      <c r="AG2174">
        <v>8720.99</v>
      </c>
      <c r="AH2174" s="1">
        <v>41276</v>
      </c>
      <c r="AI2174" s="1">
        <v>41519</v>
      </c>
      <c r="AJ2174" s="1">
        <v>41276</v>
      </c>
    </row>
    <row r="2175" spans="1:36" ht="15">
      <c r="A2175" t="str">
        <f>"Z4F0A0A386"</f>
        <v>Z4F0A0A386</v>
      </c>
      <c r="B2175" t="str">
        <f t="shared" si="78"/>
        <v>02406911202</v>
      </c>
      <c r="C2175" t="s">
        <v>13</v>
      </c>
      <c r="D2175" t="s">
        <v>930</v>
      </c>
      <c r="E2175" t="s">
        <v>1554</v>
      </c>
      <c r="F2175" t="s">
        <v>796</v>
      </c>
      <c r="G2175" t="str">
        <f>"00640800280"</f>
        <v>00640800280</v>
      </c>
      <c r="I2175" t="s">
        <v>94</v>
      </c>
      <c r="L2175" t="s">
        <v>41</v>
      </c>
      <c r="M2175">
        <v>2980</v>
      </c>
      <c r="AG2175">
        <v>2980</v>
      </c>
      <c r="AH2175" s="1">
        <v>41418</v>
      </c>
      <c r="AI2175" s="1">
        <v>41438</v>
      </c>
      <c r="AJ2175" s="1">
        <v>41418</v>
      </c>
    </row>
    <row r="2176" spans="1:36" ht="15">
      <c r="A2176" t="str">
        <f>"Z5109EFF71"</f>
        <v>Z5109EFF71</v>
      </c>
      <c r="B2176" t="str">
        <f t="shared" si="78"/>
        <v>02406911202</v>
      </c>
      <c r="C2176" t="s">
        <v>13</v>
      </c>
      <c r="D2176" t="s">
        <v>930</v>
      </c>
      <c r="E2176" t="s">
        <v>1625</v>
      </c>
      <c r="F2176" t="s">
        <v>796</v>
      </c>
      <c r="G2176" t="str">
        <f>"05070700967"</f>
        <v>05070700967</v>
      </c>
      <c r="I2176" t="s">
        <v>1626</v>
      </c>
      <c r="L2176" t="s">
        <v>41</v>
      </c>
      <c r="M2176">
        <v>301.04</v>
      </c>
      <c r="AG2176">
        <v>301.04</v>
      </c>
      <c r="AH2176" s="1">
        <v>41411</v>
      </c>
      <c r="AI2176" s="1">
        <v>41421</v>
      </c>
      <c r="AJ2176" s="1">
        <v>41411</v>
      </c>
    </row>
    <row r="2177" spans="1:36" ht="15">
      <c r="A2177" t="str">
        <f>"Z560066021"</f>
        <v>Z560066021</v>
      </c>
      <c r="B2177" t="str">
        <f t="shared" si="78"/>
        <v>02406911202</v>
      </c>
      <c r="C2177" t="s">
        <v>13</v>
      </c>
      <c r="D2177" t="s">
        <v>930</v>
      </c>
      <c r="E2177" t="s">
        <v>1507</v>
      </c>
      <c r="F2177" t="s">
        <v>796</v>
      </c>
      <c r="G2177" t="str">
        <f>"01302600380"</f>
        <v>01302600380</v>
      </c>
      <c r="I2177" t="s">
        <v>958</v>
      </c>
      <c r="L2177" t="s">
        <v>41</v>
      </c>
      <c r="M2177">
        <v>500</v>
      </c>
      <c r="AG2177">
        <v>520.96</v>
      </c>
      <c r="AH2177" s="1">
        <v>41337</v>
      </c>
      <c r="AI2177" s="1">
        <v>41347</v>
      </c>
      <c r="AJ2177" s="1">
        <v>41337</v>
      </c>
    </row>
    <row r="2178" spans="1:36" ht="15">
      <c r="A2178" t="str">
        <f>"Z56084356E"</f>
        <v>Z56084356E</v>
      </c>
      <c r="B2178" t="str">
        <f aca="true" t="shared" si="79" ref="B2178:B2241">"02406911202"</f>
        <v>02406911202</v>
      </c>
      <c r="C2178" t="s">
        <v>13</v>
      </c>
      <c r="D2178" t="s">
        <v>930</v>
      </c>
      <c r="E2178" t="s">
        <v>1556</v>
      </c>
      <c r="F2178" t="s">
        <v>796</v>
      </c>
      <c r="G2178" t="str">
        <f>"01782740474"</f>
        <v>01782740474</v>
      </c>
      <c r="I2178" t="s">
        <v>1604</v>
      </c>
      <c r="L2178" t="s">
        <v>41</v>
      </c>
      <c r="M2178">
        <v>204.5</v>
      </c>
      <c r="AG2178">
        <v>225</v>
      </c>
      <c r="AH2178" s="1">
        <v>41295</v>
      </c>
      <c r="AI2178" s="1">
        <v>41305</v>
      </c>
      <c r="AJ2178" s="1">
        <v>41295</v>
      </c>
    </row>
    <row r="2179" spans="1:36" ht="15">
      <c r="A2179" t="str">
        <f>"Z5703D4B57"</f>
        <v>Z5703D4B57</v>
      </c>
      <c r="B2179" t="str">
        <f t="shared" si="79"/>
        <v>02406911202</v>
      </c>
      <c r="C2179" t="s">
        <v>13</v>
      </c>
      <c r="D2179" t="s">
        <v>930</v>
      </c>
      <c r="E2179" t="s">
        <v>1627</v>
      </c>
      <c r="F2179" t="s">
        <v>796</v>
      </c>
      <c r="G2179" t="str">
        <f>"02779340369"</f>
        <v>02779340369</v>
      </c>
      <c r="I2179" t="s">
        <v>1628</v>
      </c>
      <c r="L2179" t="s">
        <v>41</v>
      </c>
      <c r="M2179">
        <v>5000</v>
      </c>
      <c r="AG2179">
        <v>4750</v>
      </c>
      <c r="AH2179" s="1">
        <v>41289</v>
      </c>
      <c r="AI2179" s="1">
        <v>41627</v>
      </c>
      <c r="AJ2179" s="1">
        <v>41289</v>
      </c>
    </row>
    <row r="2180" spans="1:36" ht="15">
      <c r="A2180" t="str">
        <f>"Z58024B6F6"</f>
        <v>Z58024B6F6</v>
      </c>
      <c r="B2180" t="str">
        <f t="shared" si="79"/>
        <v>02406911202</v>
      </c>
      <c r="C2180" t="s">
        <v>13</v>
      </c>
      <c r="D2180" t="s">
        <v>930</v>
      </c>
      <c r="E2180" t="s">
        <v>1580</v>
      </c>
      <c r="F2180" t="s">
        <v>796</v>
      </c>
      <c r="G2180" t="str">
        <f>"03618890101"</f>
        <v>03618890101</v>
      </c>
      <c r="I2180" t="s">
        <v>1629</v>
      </c>
      <c r="L2180" t="s">
        <v>41</v>
      </c>
      <c r="M2180">
        <v>2000</v>
      </c>
      <c r="AG2180">
        <v>1012.25</v>
      </c>
      <c r="AH2180" s="1">
        <v>41355</v>
      </c>
      <c r="AI2180" s="1">
        <v>41365</v>
      </c>
      <c r="AJ2180" s="1">
        <v>41355</v>
      </c>
    </row>
    <row r="2181" spans="1:36" ht="15">
      <c r="A2181" t="str">
        <f>"Z5A0B17F92"</f>
        <v>Z5A0B17F92</v>
      </c>
      <c r="B2181" t="str">
        <f t="shared" si="79"/>
        <v>02406911202</v>
      </c>
      <c r="C2181" t="s">
        <v>13</v>
      </c>
      <c r="D2181" t="s">
        <v>930</v>
      </c>
      <c r="E2181" t="s">
        <v>1541</v>
      </c>
      <c r="F2181" t="s">
        <v>796</v>
      </c>
      <c r="G2181" t="str">
        <f>"02796211205"</f>
        <v>02796211205</v>
      </c>
      <c r="I2181" t="s">
        <v>1630</v>
      </c>
      <c r="L2181" t="s">
        <v>41</v>
      </c>
      <c r="M2181">
        <v>810</v>
      </c>
      <c r="AG2181">
        <v>810</v>
      </c>
      <c r="AH2181" s="1">
        <v>41492</v>
      </c>
      <c r="AI2181" s="1">
        <v>41502</v>
      </c>
      <c r="AJ2181" s="1">
        <v>41492</v>
      </c>
    </row>
    <row r="2182" spans="1:36" ht="15">
      <c r="A2182" t="str">
        <f>"Z5B0B2D50B"</f>
        <v>Z5B0B2D50B</v>
      </c>
      <c r="B2182" t="str">
        <f t="shared" si="79"/>
        <v>02406911202</v>
      </c>
      <c r="C2182" t="s">
        <v>13</v>
      </c>
      <c r="D2182" t="s">
        <v>930</v>
      </c>
      <c r="E2182" t="s">
        <v>1631</v>
      </c>
      <c r="F2182" t="s">
        <v>796</v>
      </c>
      <c r="G2182" t="str">
        <f>"07240580154"</f>
        <v>07240580154</v>
      </c>
      <c r="I2182" t="s">
        <v>1517</v>
      </c>
      <c r="L2182" t="s">
        <v>41</v>
      </c>
      <c r="M2182">
        <v>1203.75</v>
      </c>
      <c r="AG2182">
        <v>1203.75</v>
      </c>
      <c r="AH2182" s="1">
        <v>41495</v>
      </c>
      <c r="AI2182" s="1">
        <v>41575</v>
      </c>
      <c r="AJ2182" s="1">
        <v>41495</v>
      </c>
    </row>
    <row r="2183" spans="1:36" ht="15">
      <c r="A2183" t="str">
        <f>"Z5B0BD3DF5"</f>
        <v>Z5B0BD3DF5</v>
      </c>
      <c r="B2183" t="str">
        <f t="shared" si="79"/>
        <v>02406911202</v>
      </c>
      <c r="C2183" t="s">
        <v>13</v>
      </c>
      <c r="D2183" t="s">
        <v>930</v>
      </c>
      <c r="E2183" t="s">
        <v>1632</v>
      </c>
      <c r="F2183" t="s">
        <v>796</v>
      </c>
      <c r="G2183" t="str">
        <f>"03671510968"</f>
        <v>03671510968</v>
      </c>
      <c r="I2183" t="s">
        <v>1633</v>
      </c>
      <c r="L2183" t="s">
        <v>41</v>
      </c>
      <c r="M2183">
        <v>305</v>
      </c>
      <c r="AG2183">
        <v>305</v>
      </c>
      <c r="AH2183" s="1">
        <v>41555</v>
      </c>
      <c r="AI2183" s="1">
        <v>41565</v>
      </c>
      <c r="AJ2183" s="1">
        <v>41555</v>
      </c>
    </row>
    <row r="2184" spans="1:36" ht="15">
      <c r="A2184" t="str">
        <f>"Z5D0C4B95A"</f>
        <v>Z5D0C4B95A</v>
      </c>
      <c r="B2184" t="str">
        <f t="shared" si="79"/>
        <v>02406911202</v>
      </c>
      <c r="C2184" t="s">
        <v>13</v>
      </c>
      <c r="D2184" t="s">
        <v>930</v>
      </c>
      <c r="E2184" t="s">
        <v>1541</v>
      </c>
      <c r="F2184" t="s">
        <v>796</v>
      </c>
      <c r="G2184" t="str">
        <f>"02796211205"</f>
        <v>02796211205</v>
      </c>
      <c r="I2184" t="s">
        <v>1630</v>
      </c>
      <c r="L2184" t="s">
        <v>41</v>
      </c>
      <c r="M2184">
        <v>440</v>
      </c>
      <c r="AG2184">
        <v>440</v>
      </c>
      <c r="AH2184" s="1">
        <v>41589</v>
      </c>
      <c r="AI2184" s="1">
        <v>41599</v>
      </c>
      <c r="AJ2184" s="1">
        <v>41589</v>
      </c>
    </row>
    <row r="2185" spans="1:36" ht="15">
      <c r="A2185" t="str">
        <f>"Z600BC3694"</f>
        <v>Z600BC3694</v>
      </c>
      <c r="B2185" t="str">
        <f t="shared" si="79"/>
        <v>02406911202</v>
      </c>
      <c r="C2185" t="s">
        <v>13</v>
      </c>
      <c r="D2185" t="s">
        <v>930</v>
      </c>
      <c r="E2185" t="s">
        <v>1634</v>
      </c>
      <c r="F2185" t="s">
        <v>796</v>
      </c>
      <c r="G2185" t="str">
        <f>"03717020964"</f>
        <v>03717020964</v>
      </c>
      <c r="I2185" t="s">
        <v>601</v>
      </c>
      <c r="L2185" t="s">
        <v>41</v>
      </c>
      <c r="M2185">
        <v>10371.04</v>
      </c>
      <c r="AG2185">
        <v>10371.04</v>
      </c>
      <c r="AH2185" s="1">
        <v>41550</v>
      </c>
      <c r="AI2185" s="1">
        <v>41631</v>
      </c>
      <c r="AJ2185" s="1">
        <v>41550</v>
      </c>
    </row>
    <row r="2186" spans="1:36" ht="15">
      <c r="A2186" t="str">
        <f>"Z610068E3C"</f>
        <v>Z610068E3C</v>
      </c>
      <c r="B2186" t="str">
        <f t="shared" si="79"/>
        <v>02406911202</v>
      </c>
      <c r="C2186" t="s">
        <v>13</v>
      </c>
      <c r="D2186" t="s">
        <v>930</v>
      </c>
      <c r="E2186" t="s">
        <v>1635</v>
      </c>
      <c r="F2186" t="s">
        <v>796</v>
      </c>
      <c r="G2186" t="str">
        <f>"03143220378"</f>
        <v>03143220378</v>
      </c>
      <c r="I2186" t="s">
        <v>1636</v>
      </c>
      <c r="L2186" t="s">
        <v>41</v>
      </c>
      <c r="M2186">
        <v>1500</v>
      </c>
      <c r="AG2186">
        <v>384.29</v>
      </c>
      <c r="AH2186" s="1">
        <v>41290</v>
      </c>
      <c r="AI2186" s="1">
        <v>41379</v>
      </c>
      <c r="AJ2186" s="1">
        <v>41290</v>
      </c>
    </row>
    <row r="2187" spans="1:36" ht="15">
      <c r="A2187" t="str">
        <f>"Z650455532"</f>
        <v>Z650455532</v>
      </c>
      <c r="B2187" t="str">
        <f t="shared" si="79"/>
        <v>02406911202</v>
      </c>
      <c r="C2187" t="s">
        <v>13</v>
      </c>
      <c r="D2187" t="s">
        <v>930</v>
      </c>
      <c r="E2187" t="s">
        <v>1596</v>
      </c>
      <c r="F2187" t="s">
        <v>796</v>
      </c>
      <c r="G2187" t="str">
        <f>"03587070370"</f>
        <v>03587070370</v>
      </c>
      <c r="I2187" t="s">
        <v>965</v>
      </c>
      <c r="L2187" t="s">
        <v>41</v>
      </c>
      <c r="M2187">
        <v>19900</v>
      </c>
      <c r="AG2187">
        <v>15092.82</v>
      </c>
      <c r="AH2187" s="1">
        <v>41288</v>
      </c>
      <c r="AI2187" s="1">
        <v>41553</v>
      </c>
      <c r="AJ2187" s="1">
        <v>41288</v>
      </c>
    </row>
    <row r="2188" spans="1:36" ht="15">
      <c r="A2188" t="str">
        <f>"Z6802A025C"</f>
        <v>Z6802A025C</v>
      </c>
      <c r="B2188" t="str">
        <f t="shared" si="79"/>
        <v>02406911202</v>
      </c>
      <c r="C2188" t="s">
        <v>13</v>
      </c>
      <c r="D2188" t="s">
        <v>930</v>
      </c>
      <c r="E2188" t="s">
        <v>1637</v>
      </c>
      <c r="F2188" t="s">
        <v>796</v>
      </c>
      <c r="G2188" t="str">
        <f>"00612690289"</f>
        <v>00612690289</v>
      </c>
      <c r="I2188" t="s">
        <v>737</v>
      </c>
      <c r="L2188" t="s">
        <v>41</v>
      </c>
      <c r="M2188">
        <v>19900</v>
      </c>
      <c r="AG2188">
        <v>15501.5</v>
      </c>
      <c r="AH2188" s="1">
        <v>41295</v>
      </c>
      <c r="AI2188" s="1">
        <v>41498</v>
      </c>
      <c r="AJ2188" s="1">
        <v>41295</v>
      </c>
    </row>
    <row r="2189" spans="1:36" ht="15">
      <c r="A2189" t="str">
        <f>"Z69033D0A1"</f>
        <v>Z69033D0A1</v>
      </c>
      <c r="B2189" t="str">
        <f t="shared" si="79"/>
        <v>02406911202</v>
      </c>
      <c r="C2189" t="s">
        <v>13</v>
      </c>
      <c r="D2189" t="s">
        <v>930</v>
      </c>
      <c r="E2189" t="s">
        <v>1638</v>
      </c>
      <c r="F2189" t="s">
        <v>796</v>
      </c>
      <c r="G2189" t="str">
        <f>"02373581202"</f>
        <v>02373581202</v>
      </c>
      <c r="I2189" t="s">
        <v>165</v>
      </c>
      <c r="L2189" t="s">
        <v>41</v>
      </c>
      <c r="M2189">
        <v>10000</v>
      </c>
      <c r="AG2189">
        <v>8597.2</v>
      </c>
      <c r="AH2189" s="1">
        <v>41318</v>
      </c>
      <c r="AI2189" s="1">
        <v>41412</v>
      </c>
      <c r="AJ2189" s="1">
        <v>41318</v>
      </c>
    </row>
    <row r="2190" spans="1:36" ht="15">
      <c r="A2190" t="str">
        <f>"Z690Z8876F"</f>
        <v>Z690Z8876F</v>
      </c>
      <c r="B2190" t="str">
        <f t="shared" si="79"/>
        <v>02406911202</v>
      </c>
      <c r="C2190" t="s">
        <v>13</v>
      </c>
      <c r="D2190" t="s">
        <v>930</v>
      </c>
      <c r="E2190" t="s">
        <v>1639</v>
      </c>
      <c r="F2190" t="s">
        <v>796</v>
      </c>
      <c r="G2190" t="str">
        <f>"03937210403"</f>
        <v>03937210403</v>
      </c>
      <c r="I2190" t="s">
        <v>1640</v>
      </c>
      <c r="L2190" t="s">
        <v>41</v>
      </c>
      <c r="M2190">
        <v>300</v>
      </c>
      <c r="AG2190">
        <v>300</v>
      </c>
      <c r="AH2190" s="1">
        <v>41451</v>
      </c>
      <c r="AI2190" s="1">
        <v>41461</v>
      </c>
      <c r="AJ2190" s="1">
        <v>41451</v>
      </c>
    </row>
    <row r="2191" spans="1:36" ht="15">
      <c r="A2191" t="str">
        <f>"Z6D0A818BD"</f>
        <v>Z6D0A818BD</v>
      </c>
      <c r="B2191" t="str">
        <f t="shared" si="79"/>
        <v>02406911202</v>
      </c>
      <c r="C2191" t="s">
        <v>13</v>
      </c>
      <c r="D2191" t="s">
        <v>930</v>
      </c>
      <c r="E2191" t="s">
        <v>1634</v>
      </c>
      <c r="F2191" t="s">
        <v>796</v>
      </c>
      <c r="G2191" t="str">
        <f>"03717020964"</f>
        <v>03717020964</v>
      </c>
      <c r="I2191" t="s">
        <v>601</v>
      </c>
      <c r="L2191" t="s">
        <v>41</v>
      </c>
      <c r="M2191">
        <v>4982.64</v>
      </c>
      <c r="AG2191">
        <v>4980.47</v>
      </c>
      <c r="AH2191" s="1">
        <v>41452</v>
      </c>
      <c r="AI2191" s="1">
        <v>41553</v>
      </c>
      <c r="AJ2191" s="1">
        <v>41452</v>
      </c>
    </row>
    <row r="2192" spans="1:36" ht="15">
      <c r="A2192" t="str">
        <f>"Z6E037A381"</f>
        <v>Z6E037A381</v>
      </c>
      <c r="B2192" t="str">
        <f t="shared" si="79"/>
        <v>02406911202</v>
      </c>
      <c r="C2192" t="s">
        <v>13</v>
      </c>
      <c r="D2192" t="s">
        <v>930</v>
      </c>
      <c r="E2192" t="s">
        <v>1510</v>
      </c>
      <c r="F2192" t="s">
        <v>796</v>
      </c>
      <c r="G2192" t="str">
        <f>"05131180969"</f>
        <v>05131180969</v>
      </c>
      <c r="I2192" t="s">
        <v>516</v>
      </c>
      <c r="L2192" t="s">
        <v>41</v>
      </c>
      <c r="M2192">
        <v>170</v>
      </c>
      <c r="AG2192">
        <v>170</v>
      </c>
      <c r="AH2192" s="1">
        <v>41325</v>
      </c>
      <c r="AI2192" s="1">
        <v>41335</v>
      </c>
      <c r="AJ2192" s="1">
        <v>41325</v>
      </c>
    </row>
    <row r="2193" spans="1:36" ht="15">
      <c r="A2193" t="str">
        <f>"Z70062E866"</f>
        <v>Z70062E866</v>
      </c>
      <c r="B2193" t="str">
        <f t="shared" si="79"/>
        <v>02406911202</v>
      </c>
      <c r="C2193" t="s">
        <v>13</v>
      </c>
      <c r="D2193" t="s">
        <v>930</v>
      </c>
      <c r="E2193" t="s">
        <v>1641</v>
      </c>
      <c r="F2193" t="s">
        <v>796</v>
      </c>
      <c r="G2193" t="str">
        <f>"04407090150"</f>
        <v>04407090150</v>
      </c>
      <c r="I2193" t="s">
        <v>1642</v>
      </c>
      <c r="L2193" t="s">
        <v>41</v>
      </c>
      <c r="M2193">
        <v>3000</v>
      </c>
      <c r="AG2193">
        <v>1837</v>
      </c>
      <c r="AH2193" s="1">
        <v>41534</v>
      </c>
      <c r="AI2193" s="1">
        <v>41544</v>
      </c>
      <c r="AJ2193" s="1">
        <v>41534</v>
      </c>
    </row>
    <row r="2194" spans="1:36" ht="15">
      <c r="A2194" t="str">
        <f>"Z710997C59"</f>
        <v>Z710997C59</v>
      </c>
      <c r="B2194" t="str">
        <f t="shared" si="79"/>
        <v>02406911202</v>
      </c>
      <c r="C2194" t="s">
        <v>13</v>
      </c>
      <c r="D2194" t="s">
        <v>930</v>
      </c>
      <c r="E2194" t="s">
        <v>1556</v>
      </c>
      <c r="F2194" t="s">
        <v>796</v>
      </c>
      <c r="G2194" t="str">
        <f>"02918221207"</f>
        <v>02918221207</v>
      </c>
      <c r="I2194" t="s">
        <v>1643</v>
      </c>
      <c r="L2194" t="s">
        <v>41</v>
      </c>
      <c r="M2194">
        <v>1230</v>
      </c>
      <c r="AG2194">
        <v>1230</v>
      </c>
      <c r="AH2194" s="1">
        <v>41386</v>
      </c>
      <c r="AI2194" s="1">
        <v>41396</v>
      </c>
      <c r="AJ2194" s="1">
        <v>41386</v>
      </c>
    </row>
    <row r="2195" spans="1:36" ht="15">
      <c r="A2195" t="str">
        <f>"Z7300B88CB"</f>
        <v>Z7300B88CB</v>
      </c>
      <c r="B2195" t="str">
        <f t="shared" si="79"/>
        <v>02406911202</v>
      </c>
      <c r="C2195" t="s">
        <v>13</v>
      </c>
      <c r="D2195" t="s">
        <v>930</v>
      </c>
      <c r="E2195" t="s">
        <v>1521</v>
      </c>
      <c r="F2195" t="s">
        <v>796</v>
      </c>
      <c r="G2195" t="str">
        <f>"01786991206"</f>
        <v>01786991206</v>
      </c>
      <c r="I2195" t="s">
        <v>1644</v>
      </c>
      <c r="L2195" t="s">
        <v>41</v>
      </c>
      <c r="M2195">
        <v>1000</v>
      </c>
      <c r="AG2195">
        <v>206.65</v>
      </c>
      <c r="AH2195" s="1">
        <v>41569</v>
      </c>
      <c r="AI2195" s="1">
        <v>41649</v>
      </c>
      <c r="AJ2195" s="1">
        <v>41569</v>
      </c>
    </row>
    <row r="2196" spans="1:36" ht="15">
      <c r="A2196" t="str">
        <f>"Z730968506"</f>
        <v>Z730968506</v>
      </c>
      <c r="B2196" t="str">
        <f t="shared" si="79"/>
        <v>02406911202</v>
      </c>
      <c r="C2196" t="s">
        <v>13</v>
      </c>
      <c r="D2196" t="s">
        <v>930</v>
      </c>
      <c r="E2196" t="s">
        <v>1645</v>
      </c>
      <c r="F2196" t="s">
        <v>796</v>
      </c>
      <c r="G2196" t="str">
        <f>"02200990352"</f>
        <v>02200990352</v>
      </c>
      <c r="I2196" t="s">
        <v>162</v>
      </c>
      <c r="L2196" t="s">
        <v>41</v>
      </c>
      <c r="M2196">
        <v>4942</v>
      </c>
      <c r="AG2196">
        <v>4942</v>
      </c>
      <c r="AH2196" s="1">
        <v>41372</v>
      </c>
      <c r="AI2196" s="1">
        <v>41609</v>
      </c>
      <c r="AJ2196" s="1">
        <v>41372</v>
      </c>
    </row>
    <row r="2197" spans="1:36" ht="15">
      <c r="A2197" t="str">
        <f>"Z730AE9B31"</f>
        <v>Z730AE9B31</v>
      </c>
      <c r="B2197" t="str">
        <f t="shared" si="79"/>
        <v>02406911202</v>
      </c>
      <c r="C2197" t="s">
        <v>13</v>
      </c>
      <c r="D2197" t="s">
        <v>930</v>
      </c>
      <c r="E2197" t="s">
        <v>1541</v>
      </c>
      <c r="F2197" t="s">
        <v>796</v>
      </c>
      <c r="G2197" t="str">
        <f>"03073250361"</f>
        <v>03073250361</v>
      </c>
      <c r="I2197" t="s">
        <v>1595</v>
      </c>
      <c r="L2197" t="s">
        <v>41</v>
      </c>
      <c r="M2197">
        <v>4132.22</v>
      </c>
      <c r="AG2197">
        <v>4132.22</v>
      </c>
      <c r="AH2197" s="1">
        <v>41485</v>
      </c>
      <c r="AI2197" s="1">
        <v>41495</v>
      </c>
      <c r="AJ2197" s="1">
        <v>41485</v>
      </c>
    </row>
    <row r="2198" spans="1:36" ht="15">
      <c r="A2198" t="str">
        <f>"Z74029A873"</f>
        <v>Z74029A873</v>
      </c>
      <c r="B2198" t="str">
        <f t="shared" si="79"/>
        <v>02406911202</v>
      </c>
      <c r="C2198" t="s">
        <v>13</v>
      </c>
      <c r="D2198" t="s">
        <v>930</v>
      </c>
      <c r="E2198" t="s">
        <v>1646</v>
      </c>
      <c r="F2198" t="s">
        <v>796</v>
      </c>
      <c r="G2198" t="str">
        <f>"04327730018"</f>
        <v>04327730018</v>
      </c>
      <c r="I2198" t="s">
        <v>937</v>
      </c>
      <c r="L2198" t="s">
        <v>41</v>
      </c>
      <c r="M2198">
        <v>19900</v>
      </c>
      <c r="AG2198">
        <v>11275.3</v>
      </c>
      <c r="AH2198" s="1">
        <v>41277</v>
      </c>
      <c r="AI2198" s="1">
        <v>41462</v>
      </c>
      <c r="AJ2198" s="1">
        <v>41277</v>
      </c>
    </row>
    <row r="2199" spans="1:36" ht="15">
      <c r="A2199" t="str">
        <f>"Z740845316"</f>
        <v>Z740845316</v>
      </c>
      <c r="B2199" t="str">
        <f t="shared" si="79"/>
        <v>02406911202</v>
      </c>
      <c r="C2199" t="s">
        <v>13</v>
      </c>
      <c r="D2199" t="s">
        <v>930</v>
      </c>
      <c r="E2199" t="s">
        <v>1647</v>
      </c>
      <c r="F2199" t="s">
        <v>796</v>
      </c>
      <c r="G2199" t="str">
        <f>"01228210371"</f>
        <v>01228210371</v>
      </c>
      <c r="I2199" t="s">
        <v>102</v>
      </c>
      <c r="L2199" t="s">
        <v>41</v>
      </c>
      <c r="M2199">
        <v>20207</v>
      </c>
      <c r="AG2199">
        <v>20207.46</v>
      </c>
      <c r="AH2199" s="1">
        <v>41295</v>
      </c>
      <c r="AI2199" s="1">
        <v>41462</v>
      </c>
      <c r="AJ2199" s="1">
        <v>41295</v>
      </c>
    </row>
    <row r="2200" spans="1:36" ht="15">
      <c r="A2200" t="str">
        <f>"Z75085EF27"</f>
        <v>Z75085EF27</v>
      </c>
      <c r="B2200" t="str">
        <f t="shared" si="79"/>
        <v>02406911202</v>
      </c>
      <c r="C2200" t="s">
        <v>13</v>
      </c>
      <c r="D2200" t="s">
        <v>930</v>
      </c>
      <c r="E2200" t="s">
        <v>1556</v>
      </c>
      <c r="F2200" t="s">
        <v>796</v>
      </c>
      <c r="G2200" t="str">
        <f>"02172980365"</f>
        <v>02172980365</v>
      </c>
      <c r="I2200" t="s">
        <v>1599</v>
      </c>
      <c r="L2200" t="s">
        <v>41</v>
      </c>
      <c r="M2200">
        <v>127.83</v>
      </c>
      <c r="AG2200">
        <v>127.82</v>
      </c>
      <c r="AH2200" s="1">
        <v>41303</v>
      </c>
      <c r="AI2200" s="1">
        <v>41313</v>
      </c>
      <c r="AJ2200" s="1">
        <v>41303</v>
      </c>
    </row>
    <row r="2201" spans="1:36" ht="15">
      <c r="A2201" t="str">
        <f>"Z76036F52D"</f>
        <v>Z76036F52D</v>
      </c>
      <c r="B2201" t="str">
        <f t="shared" si="79"/>
        <v>02406911202</v>
      </c>
      <c r="C2201" t="s">
        <v>13</v>
      </c>
      <c r="D2201" t="s">
        <v>930</v>
      </c>
      <c r="E2201" t="s">
        <v>1507</v>
      </c>
      <c r="F2201" t="s">
        <v>796</v>
      </c>
      <c r="G2201" t="str">
        <f>"02405801206"</f>
        <v>02405801206</v>
      </c>
      <c r="I2201" t="s">
        <v>1648</v>
      </c>
      <c r="L2201" t="s">
        <v>41</v>
      </c>
      <c r="M2201">
        <v>760</v>
      </c>
      <c r="AG2201">
        <v>760</v>
      </c>
      <c r="AH2201" s="1">
        <v>41281</v>
      </c>
      <c r="AI2201" s="1">
        <v>41291</v>
      </c>
      <c r="AJ2201" s="1">
        <v>41281</v>
      </c>
    </row>
    <row r="2202" spans="1:36" ht="15">
      <c r="A2202" t="str">
        <f>"Z760C5A971"</f>
        <v>Z760C5A971</v>
      </c>
      <c r="B2202" t="str">
        <f t="shared" si="79"/>
        <v>02406911202</v>
      </c>
      <c r="C2202" t="s">
        <v>13</v>
      </c>
      <c r="D2202" t="s">
        <v>930</v>
      </c>
      <c r="E2202" t="s">
        <v>1611</v>
      </c>
      <c r="F2202" t="s">
        <v>796</v>
      </c>
      <c r="G2202" t="str">
        <f>"02500070046"</f>
        <v>02500070046</v>
      </c>
      <c r="I2202" t="s">
        <v>1649</v>
      </c>
      <c r="L2202" t="s">
        <v>41</v>
      </c>
      <c r="M2202">
        <v>1191.58</v>
      </c>
      <c r="AG2202">
        <v>1191.59</v>
      </c>
      <c r="AH2202" s="1">
        <v>41591</v>
      </c>
      <c r="AI2202" s="1">
        <v>41601</v>
      </c>
      <c r="AJ2202" s="1">
        <v>41591</v>
      </c>
    </row>
    <row r="2203" spans="1:36" ht="15">
      <c r="A2203" t="str">
        <f>"Z7A076E72E"</f>
        <v>Z7A076E72E</v>
      </c>
      <c r="B2203" t="str">
        <f t="shared" si="79"/>
        <v>02406911202</v>
      </c>
      <c r="C2203" t="s">
        <v>13</v>
      </c>
      <c r="D2203" t="s">
        <v>930</v>
      </c>
      <c r="E2203" t="s">
        <v>1556</v>
      </c>
      <c r="F2203" t="s">
        <v>796</v>
      </c>
      <c r="G2203" t="str">
        <f>"02172980365"</f>
        <v>02172980365</v>
      </c>
      <c r="I2203" t="s">
        <v>1599</v>
      </c>
      <c r="L2203" t="s">
        <v>41</v>
      </c>
      <c r="M2203">
        <v>1000</v>
      </c>
      <c r="AG2203">
        <v>741.37</v>
      </c>
      <c r="AH2203" s="1">
        <v>41359</v>
      </c>
      <c r="AI2203" s="1">
        <v>41628</v>
      </c>
      <c r="AJ2203" s="1">
        <v>41359</v>
      </c>
    </row>
    <row r="2204" spans="1:36" ht="15">
      <c r="A2204" t="str">
        <f>"Z7A0A540D0"</f>
        <v>Z7A0A540D0</v>
      </c>
      <c r="B2204" t="str">
        <f t="shared" si="79"/>
        <v>02406911202</v>
      </c>
      <c r="C2204" t="s">
        <v>13</v>
      </c>
      <c r="D2204" t="s">
        <v>930</v>
      </c>
      <c r="E2204" t="s">
        <v>1541</v>
      </c>
      <c r="F2204" t="s">
        <v>796</v>
      </c>
      <c r="G2204" t="str">
        <f>"03383790379"</f>
        <v>03383790379</v>
      </c>
      <c r="I2204" t="s">
        <v>1650</v>
      </c>
      <c r="L2204" t="s">
        <v>41</v>
      </c>
      <c r="M2204">
        <v>727.27</v>
      </c>
      <c r="AG2204">
        <v>727.27</v>
      </c>
      <c r="AH2204" s="1">
        <v>41436</v>
      </c>
      <c r="AI2204" s="1">
        <v>41446</v>
      </c>
      <c r="AJ2204" s="1">
        <v>41436</v>
      </c>
    </row>
    <row r="2205" spans="1:36" ht="15">
      <c r="A2205" t="str">
        <f>"Z7D0374776"</f>
        <v>Z7D0374776</v>
      </c>
      <c r="B2205" t="str">
        <f t="shared" si="79"/>
        <v>02406911202</v>
      </c>
      <c r="C2205" t="s">
        <v>13</v>
      </c>
      <c r="D2205" t="s">
        <v>930</v>
      </c>
      <c r="E2205" t="s">
        <v>1510</v>
      </c>
      <c r="F2205" t="s">
        <v>796</v>
      </c>
      <c r="G2205" t="str">
        <f>"00000004000"</f>
        <v>00000004000</v>
      </c>
      <c r="I2205" t="s">
        <v>1651</v>
      </c>
      <c r="L2205" t="s">
        <v>41</v>
      </c>
      <c r="M2205">
        <v>5000</v>
      </c>
      <c r="AG2205">
        <v>6513.1</v>
      </c>
      <c r="AH2205" s="1">
        <v>41520</v>
      </c>
      <c r="AI2205" s="1">
        <v>41530</v>
      </c>
      <c r="AJ2205" s="1">
        <v>41520</v>
      </c>
    </row>
    <row r="2206" spans="1:36" ht="15">
      <c r="A2206" t="str">
        <f>"Z7E0132AE4"</f>
        <v>Z7E0132AE4</v>
      </c>
      <c r="B2206" t="str">
        <f t="shared" si="79"/>
        <v>02406911202</v>
      </c>
      <c r="C2206" t="s">
        <v>13</v>
      </c>
      <c r="D2206" t="s">
        <v>930</v>
      </c>
      <c r="E2206" t="s">
        <v>1507</v>
      </c>
      <c r="F2206" t="s">
        <v>796</v>
      </c>
      <c r="G2206" t="str">
        <f>"11954900152"</f>
        <v>11954900152</v>
      </c>
      <c r="I2206" t="s">
        <v>1419</v>
      </c>
      <c r="L2206" t="s">
        <v>41</v>
      </c>
      <c r="M2206">
        <v>1924.4</v>
      </c>
      <c r="AG2206">
        <v>1924.4</v>
      </c>
      <c r="AH2206" s="1">
        <v>41550</v>
      </c>
      <c r="AI2206" s="1">
        <v>41560</v>
      </c>
      <c r="AJ2206" s="1">
        <v>41550</v>
      </c>
    </row>
    <row r="2207" spans="1:36" ht="15">
      <c r="A2207" t="str">
        <f>"Z7E0915C5B"</f>
        <v>Z7E0915C5B</v>
      </c>
      <c r="B2207" t="str">
        <f t="shared" si="79"/>
        <v>02406911202</v>
      </c>
      <c r="C2207" t="s">
        <v>13</v>
      </c>
      <c r="D2207" t="s">
        <v>930</v>
      </c>
      <c r="E2207" t="s">
        <v>1652</v>
      </c>
      <c r="F2207" t="s">
        <v>796</v>
      </c>
      <c r="G2207" t="str">
        <f>"02540280969"</f>
        <v>02540280969</v>
      </c>
      <c r="I2207" t="s">
        <v>1653</v>
      </c>
      <c r="L2207" t="s">
        <v>41</v>
      </c>
      <c r="M2207">
        <v>300</v>
      </c>
      <c r="AG2207">
        <v>300</v>
      </c>
      <c r="AH2207" s="1">
        <v>41346</v>
      </c>
      <c r="AI2207" s="1">
        <v>41356</v>
      </c>
      <c r="AJ2207" s="1">
        <v>41346</v>
      </c>
    </row>
    <row r="2208" spans="1:36" ht="15">
      <c r="A2208" t="str">
        <f>"Z7F0980B8B"</f>
        <v>Z7F0980B8B</v>
      </c>
      <c r="B2208" t="str">
        <f t="shared" si="79"/>
        <v>02406911202</v>
      </c>
      <c r="C2208" t="s">
        <v>13</v>
      </c>
      <c r="D2208" t="s">
        <v>930</v>
      </c>
      <c r="E2208" t="s">
        <v>1556</v>
      </c>
      <c r="F2208" t="s">
        <v>796</v>
      </c>
      <c r="G2208" t="str">
        <f>"01323060382"</f>
        <v>01323060382</v>
      </c>
      <c r="I2208" t="s">
        <v>1654</v>
      </c>
      <c r="L2208" t="s">
        <v>41</v>
      </c>
      <c r="M2208">
        <v>720</v>
      </c>
      <c r="AG2208">
        <v>720</v>
      </c>
      <c r="AH2208" s="1">
        <v>41383</v>
      </c>
      <c r="AI2208" s="1">
        <v>41608</v>
      </c>
      <c r="AJ2208" s="1">
        <v>41383</v>
      </c>
    </row>
    <row r="2209" spans="1:36" ht="15">
      <c r="A2209" t="str">
        <f>"Z80011FD72"</f>
        <v>Z80011FD72</v>
      </c>
      <c r="B2209" t="str">
        <f t="shared" si="79"/>
        <v>02406911202</v>
      </c>
      <c r="C2209" t="s">
        <v>13</v>
      </c>
      <c r="D2209" t="s">
        <v>930</v>
      </c>
      <c r="E2209" t="s">
        <v>1655</v>
      </c>
      <c r="F2209" t="s">
        <v>796</v>
      </c>
      <c r="G2209" t="str">
        <f>"00334510377"</f>
        <v>00334510377</v>
      </c>
      <c r="I2209" t="s">
        <v>1656</v>
      </c>
      <c r="L2209" t="s">
        <v>41</v>
      </c>
      <c r="M2209">
        <v>1000</v>
      </c>
      <c r="AG2209">
        <v>1606.17</v>
      </c>
      <c r="AH2209" s="1">
        <v>41303</v>
      </c>
      <c r="AI2209" s="1">
        <v>41600</v>
      </c>
      <c r="AJ2209" s="1">
        <v>41303</v>
      </c>
    </row>
    <row r="2210" spans="1:36" ht="15">
      <c r="A2210" t="str">
        <f>"Z830C11E30"</f>
        <v>Z830C11E30</v>
      </c>
      <c r="B2210" t="str">
        <f t="shared" si="79"/>
        <v>02406911202</v>
      </c>
      <c r="C2210" t="s">
        <v>13</v>
      </c>
      <c r="D2210" t="s">
        <v>930</v>
      </c>
      <c r="E2210" t="s">
        <v>1541</v>
      </c>
      <c r="F2210" t="s">
        <v>796</v>
      </c>
      <c r="G2210" t="str">
        <f>"02796211205"</f>
        <v>02796211205</v>
      </c>
      <c r="I2210" t="s">
        <v>1630</v>
      </c>
      <c r="L2210" t="s">
        <v>41</v>
      </c>
      <c r="M2210">
        <v>1080</v>
      </c>
      <c r="AG2210">
        <v>1080</v>
      </c>
      <c r="AH2210" s="1">
        <v>41571</v>
      </c>
      <c r="AI2210" s="1">
        <v>41581</v>
      </c>
      <c r="AJ2210" s="1">
        <v>41571</v>
      </c>
    </row>
    <row r="2211" spans="1:36" ht="15">
      <c r="A2211" t="str">
        <f>"Z840352F12"</f>
        <v>Z840352F12</v>
      </c>
      <c r="B2211" t="str">
        <f t="shared" si="79"/>
        <v>02406911202</v>
      </c>
      <c r="C2211" t="s">
        <v>13</v>
      </c>
      <c r="D2211" t="s">
        <v>930</v>
      </c>
      <c r="E2211" t="s">
        <v>1657</v>
      </c>
      <c r="F2211" t="s">
        <v>796</v>
      </c>
      <c r="G2211" t="str">
        <f>"01778301208"</f>
        <v>01778301208</v>
      </c>
      <c r="I2211" t="s">
        <v>1658</v>
      </c>
      <c r="L2211" t="s">
        <v>41</v>
      </c>
      <c r="M2211">
        <v>10000</v>
      </c>
      <c r="AG2211">
        <v>9428.4</v>
      </c>
      <c r="AH2211" s="1">
        <v>41281</v>
      </c>
      <c r="AI2211" s="1">
        <v>41432</v>
      </c>
      <c r="AJ2211" s="1">
        <v>41281</v>
      </c>
    </row>
    <row r="2212" spans="1:36" ht="15">
      <c r="A2212" t="str">
        <f>"Z840C7D247"</f>
        <v>Z840C7D247</v>
      </c>
      <c r="B2212" t="str">
        <f t="shared" si="79"/>
        <v>02406911202</v>
      </c>
      <c r="C2212" t="s">
        <v>13</v>
      </c>
      <c r="D2212" t="s">
        <v>930</v>
      </c>
      <c r="E2212" t="s">
        <v>1521</v>
      </c>
      <c r="F2212" t="s">
        <v>796</v>
      </c>
      <c r="G2212" t="str">
        <f>"00841770332"</f>
        <v>00841770332</v>
      </c>
      <c r="I2212" t="s">
        <v>1659</v>
      </c>
      <c r="L2212" t="s">
        <v>41</v>
      </c>
      <c r="M2212">
        <v>1289.21</v>
      </c>
      <c r="AG2212">
        <v>1289.21</v>
      </c>
      <c r="AH2212" s="1">
        <v>41599</v>
      </c>
      <c r="AI2212" s="1">
        <v>41609</v>
      </c>
      <c r="AJ2212" s="1">
        <v>41599</v>
      </c>
    </row>
    <row r="2213" spans="1:36" ht="15">
      <c r="A2213" t="str">
        <f>"Z8508452C4"</f>
        <v>Z8508452C4</v>
      </c>
      <c r="B2213" t="str">
        <f t="shared" si="79"/>
        <v>02406911202</v>
      </c>
      <c r="C2213" t="s">
        <v>13</v>
      </c>
      <c r="D2213" t="s">
        <v>930</v>
      </c>
      <c r="E2213" t="s">
        <v>1660</v>
      </c>
      <c r="F2213" t="s">
        <v>796</v>
      </c>
      <c r="G2213" t="str">
        <f>"02330970209"</f>
        <v>02330970209</v>
      </c>
      <c r="I2213" t="s">
        <v>1613</v>
      </c>
      <c r="L2213" t="s">
        <v>41</v>
      </c>
      <c r="M2213">
        <v>19605.58</v>
      </c>
      <c r="AG2213">
        <v>19003.78</v>
      </c>
      <c r="AH2213" s="1">
        <v>41297</v>
      </c>
      <c r="AI2213" s="1">
        <v>41610</v>
      </c>
      <c r="AJ2213" s="1">
        <v>41297</v>
      </c>
    </row>
    <row r="2214" spans="1:36" ht="15">
      <c r="A2214" t="str">
        <f>"Z860203886"</f>
        <v>Z860203886</v>
      </c>
      <c r="B2214" t="str">
        <f t="shared" si="79"/>
        <v>02406911202</v>
      </c>
      <c r="C2214" t="s">
        <v>13</v>
      </c>
      <c r="D2214" t="s">
        <v>930</v>
      </c>
      <c r="E2214" t="s">
        <v>1511</v>
      </c>
      <c r="F2214" t="s">
        <v>796</v>
      </c>
      <c r="G2214" t="str">
        <f>"00575961206"</f>
        <v>00575961206</v>
      </c>
      <c r="I2214" t="s">
        <v>1350</v>
      </c>
      <c r="L2214" t="s">
        <v>41</v>
      </c>
      <c r="M2214">
        <v>1000</v>
      </c>
      <c r="AG2214">
        <v>799.35</v>
      </c>
      <c r="AH2214" s="1">
        <v>41309</v>
      </c>
      <c r="AI2214" s="1">
        <v>41319</v>
      </c>
      <c r="AJ2214" s="1">
        <v>41309</v>
      </c>
    </row>
    <row r="2215" spans="1:36" ht="15">
      <c r="A2215" t="str">
        <f>"Z86033201E"</f>
        <v>Z86033201E</v>
      </c>
      <c r="B2215" t="str">
        <f t="shared" si="79"/>
        <v>02406911202</v>
      </c>
      <c r="C2215" t="s">
        <v>13</v>
      </c>
      <c r="D2215" t="s">
        <v>930</v>
      </c>
      <c r="E2215" t="s">
        <v>1661</v>
      </c>
      <c r="F2215" t="s">
        <v>796</v>
      </c>
      <c r="G2215" t="str">
        <f>"06754140157"</f>
        <v>06754140157</v>
      </c>
      <c r="I2215" t="s">
        <v>406</v>
      </c>
      <c r="L2215" t="s">
        <v>41</v>
      </c>
      <c r="M2215">
        <v>3000</v>
      </c>
      <c r="AG2215">
        <v>2838.78</v>
      </c>
      <c r="AH2215" s="1">
        <v>41285</v>
      </c>
      <c r="AI2215" s="1">
        <v>41610</v>
      </c>
      <c r="AJ2215" s="1">
        <v>41285</v>
      </c>
    </row>
    <row r="2216" spans="1:36" ht="15">
      <c r="A2216" t="str">
        <f>"Z8708FBE15"</f>
        <v>Z8708FBE15</v>
      </c>
      <c r="B2216" t="str">
        <f t="shared" si="79"/>
        <v>02406911202</v>
      </c>
      <c r="C2216" t="s">
        <v>13</v>
      </c>
      <c r="D2216" t="s">
        <v>930</v>
      </c>
      <c r="E2216" t="s">
        <v>1662</v>
      </c>
      <c r="F2216" t="s">
        <v>796</v>
      </c>
      <c r="G2216" t="str">
        <f>"02881210369"</f>
        <v>02881210369</v>
      </c>
      <c r="I2216" t="s">
        <v>1663</v>
      </c>
      <c r="L2216" t="s">
        <v>41</v>
      </c>
      <c r="M2216">
        <v>220</v>
      </c>
      <c r="AG2216">
        <v>220</v>
      </c>
      <c r="AH2216" s="1">
        <v>41333</v>
      </c>
      <c r="AI2216" s="1">
        <v>41343</v>
      </c>
      <c r="AJ2216" s="1">
        <v>41333</v>
      </c>
    </row>
    <row r="2217" spans="1:36" ht="15">
      <c r="A2217" t="str">
        <f>"Z88041448C"</f>
        <v>Z88041448C</v>
      </c>
      <c r="B2217" t="str">
        <f t="shared" si="79"/>
        <v>02406911202</v>
      </c>
      <c r="C2217" t="s">
        <v>13</v>
      </c>
      <c r="D2217" t="s">
        <v>930</v>
      </c>
      <c r="E2217" t="s">
        <v>1507</v>
      </c>
      <c r="F2217" t="s">
        <v>796</v>
      </c>
      <c r="G2217" t="str">
        <f>"07249200960"</f>
        <v>07249200960</v>
      </c>
      <c r="I2217" t="s">
        <v>1464</v>
      </c>
      <c r="L2217" t="s">
        <v>41</v>
      </c>
      <c r="M2217">
        <v>1000</v>
      </c>
      <c r="AG2217">
        <v>720.5</v>
      </c>
      <c r="AH2217" s="1">
        <v>41295</v>
      </c>
      <c r="AI2217" s="1">
        <v>41357</v>
      </c>
      <c r="AJ2217" s="1">
        <v>41295</v>
      </c>
    </row>
    <row r="2218" spans="1:36" ht="15">
      <c r="A2218" t="str">
        <f>"Z8808E17C5"</f>
        <v>Z8808E17C5</v>
      </c>
      <c r="B2218" t="str">
        <f t="shared" si="79"/>
        <v>02406911202</v>
      </c>
      <c r="C2218" t="s">
        <v>13</v>
      </c>
      <c r="D2218" t="s">
        <v>930</v>
      </c>
      <c r="E2218" t="s">
        <v>1664</v>
      </c>
      <c r="F2218" t="s">
        <v>796</v>
      </c>
      <c r="G2218" t="str">
        <f>"03479630984"</f>
        <v>03479630984</v>
      </c>
      <c r="I2218" t="s">
        <v>1665</v>
      </c>
      <c r="L2218" t="s">
        <v>41</v>
      </c>
      <c r="M2218">
        <v>1760</v>
      </c>
      <c r="AG2218">
        <v>1760</v>
      </c>
      <c r="AH2218" s="1">
        <v>41333</v>
      </c>
      <c r="AI2218" s="1">
        <v>41391</v>
      </c>
      <c r="AJ2218" s="1">
        <v>41333</v>
      </c>
    </row>
    <row r="2219" spans="1:36" ht="15">
      <c r="A2219" t="str">
        <f>"Z8904BF83F"</f>
        <v>Z8904BF83F</v>
      </c>
      <c r="B2219" t="str">
        <f t="shared" si="79"/>
        <v>02406911202</v>
      </c>
      <c r="C2219" t="s">
        <v>13</v>
      </c>
      <c r="D2219" t="s">
        <v>930</v>
      </c>
      <c r="E2219" t="s">
        <v>1666</v>
      </c>
      <c r="F2219" t="s">
        <v>796</v>
      </c>
      <c r="G2219" t="str">
        <f>"00421250481"</f>
        <v>00421250481</v>
      </c>
      <c r="I2219" t="s">
        <v>942</v>
      </c>
      <c r="L2219" t="s">
        <v>41</v>
      </c>
      <c r="M2219">
        <v>10000</v>
      </c>
      <c r="AG2219">
        <v>6862.15</v>
      </c>
      <c r="AH2219" s="1">
        <v>41611</v>
      </c>
      <c r="AI2219" s="1">
        <v>41621</v>
      </c>
      <c r="AJ2219" s="1">
        <v>41611</v>
      </c>
    </row>
    <row r="2220" spans="1:36" ht="15">
      <c r="A2220" t="str">
        <f>"Z8D022F968"</f>
        <v>Z8D022F968</v>
      </c>
      <c r="B2220" t="str">
        <f t="shared" si="79"/>
        <v>02406911202</v>
      </c>
      <c r="C2220" t="s">
        <v>13</v>
      </c>
      <c r="D2220" t="s">
        <v>930</v>
      </c>
      <c r="E2220" t="s">
        <v>1667</v>
      </c>
      <c r="F2220" t="s">
        <v>796</v>
      </c>
      <c r="G2220" t="str">
        <f>"02263030393"</f>
        <v>02263030393</v>
      </c>
      <c r="I2220" t="s">
        <v>1668</v>
      </c>
      <c r="L2220" t="s">
        <v>41</v>
      </c>
      <c r="M2220">
        <v>6000</v>
      </c>
      <c r="AG2220">
        <v>5302</v>
      </c>
      <c r="AH2220" s="1">
        <v>41360</v>
      </c>
      <c r="AI2220" s="1">
        <v>41370</v>
      </c>
      <c r="AJ2220" s="1">
        <v>41360</v>
      </c>
    </row>
    <row r="2221" spans="1:36" ht="15">
      <c r="A2221" t="str">
        <f>"Z8D0D02A34"</f>
        <v>Z8D0D02A34</v>
      </c>
      <c r="B2221" t="str">
        <f t="shared" si="79"/>
        <v>02406911202</v>
      </c>
      <c r="C2221" t="s">
        <v>13</v>
      </c>
      <c r="D2221" t="s">
        <v>930</v>
      </c>
      <c r="E2221" t="s">
        <v>1568</v>
      </c>
      <c r="F2221" t="s">
        <v>796</v>
      </c>
      <c r="G2221" t="str">
        <f>"00847070158"</f>
        <v>00847070158</v>
      </c>
      <c r="I2221" t="s">
        <v>1669</v>
      </c>
      <c r="L2221" t="s">
        <v>41</v>
      </c>
      <c r="M2221">
        <v>607.5</v>
      </c>
      <c r="AG2221">
        <v>600</v>
      </c>
      <c r="AH2221" s="1">
        <v>41638</v>
      </c>
      <c r="AI2221" s="1">
        <v>41648</v>
      </c>
      <c r="AJ2221" s="1">
        <v>41638</v>
      </c>
    </row>
    <row r="2222" spans="1:36" ht="15">
      <c r="A2222" t="str">
        <f>"Z8E0BD7EB0"</f>
        <v>Z8E0BD7EB0</v>
      </c>
      <c r="B2222" t="str">
        <f t="shared" si="79"/>
        <v>02406911202</v>
      </c>
      <c r="C2222" t="s">
        <v>13</v>
      </c>
      <c r="D2222" t="s">
        <v>930</v>
      </c>
      <c r="E2222" t="s">
        <v>1541</v>
      </c>
      <c r="F2222" t="s">
        <v>796</v>
      </c>
      <c r="G2222" t="str">
        <f>"01857291205"</f>
        <v>01857291205</v>
      </c>
      <c r="I2222" t="s">
        <v>1670</v>
      </c>
      <c r="L2222" t="s">
        <v>41</v>
      </c>
      <c r="M2222">
        <v>15000</v>
      </c>
      <c r="AG2222">
        <v>15000</v>
      </c>
      <c r="AH2222" s="1">
        <v>41557</v>
      </c>
      <c r="AI2222" s="1">
        <v>41567</v>
      </c>
      <c r="AJ2222" s="1">
        <v>41557</v>
      </c>
    </row>
    <row r="2223" spans="1:36" ht="15">
      <c r="A2223" t="str">
        <f>"Z8F0CA9342"</f>
        <v>Z8F0CA9342</v>
      </c>
      <c r="B2223" t="str">
        <f t="shared" si="79"/>
        <v>02406911202</v>
      </c>
      <c r="C2223" t="s">
        <v>13</v>
      </c>
      <c r="D2223" t="s">
        <v>930</v>
      </c>
      <c r="E2223" t="s">
        <v>1541</v>
      </c>
      <c r="F2223" t="s">
        <v>796</v>
      </c>
      <c r="G2223" t="str">
        <f>"04211870375"</f>
        <v>04211870375</v>
      </c>
      <c r="I2223" t="s">
        <v>1671</v>
      </c>
      <c r="L2223" t="s">
        <v>41</v>
      </c>
      <c r="M2223">
        <v>2459.02</v>
      </c>
      <c r="AG2223">
        <v>2459.02</v>
      </c>
      <c r="AH2223" s="1">
        <v>41613</v>
      </c>
      <c r="AI2223" s="1">
        <v>41623</v>
      </c>
      <c r="AJ2223" s="1">
        <v>41613</v>
      </c>
    </row>
    <row r="2224" spans="1:36" ht="15">
      <c r="A2224" t="str">
        <f>"Z91019C37A"</f>
        <v>Z91019C37A</v>
      </c>
      <c r="B2224" t="str">
        <f t="shared" si="79"/>
        <v>02406911202</v>
      </c>
      <c r="C2224" t="s">
        <v>13</v>
      </c>
      <c r="D2224" t="s">
        <v>930</v>
      </c>
      <c r="E2224" t="s">
        <v>1672</v>
      </c>
      <c r="F2224" t="s">
        <v>796</v>
      </c>
      <c r="G2224" t="str">
        <f>"08379270153"</f>
        <v>08379270153</v>
      </c>
      <c r="I2224" t="s">
        <v>1673</v>
      </c>
      <c r="L2224" t="s">
        <v>41</v>
      </c>
      <c r="M2224">
        <v>238</v>
      </c>
      <c r="AG2224">
        <v>238</v>
      </c>
      <c r="AH2224" s="1">
        <v>41302</v>
      </c>
      <c r="AI2224" s="1">
        <v>41518</v>
      </c>
      <c r="AJ2224" s="1">
        <v>41302</v>
      </c>
    </row>
    <row r="2225" spans="1:36" ht="15">
      <c r="A2225" t="str">
        <f>"Z910A196D2"</f>
        <v>Z910A196D2</v>
      </c>
      <c r="B2225" t="str">
        <f t="shared" si="79"/>
        <v>02406911202</v>
      </c>
      <c r="C2225" t="s">
        <v>13</v>
      </c>
      <c r="D2225" t="s">
        <v>930</v>
      </c>
      <c r="E2225" t="s">
        <v>1541</v>
      </c>
      <c r="F2225" t="s">
        <v>796</v>
      </c>
      <c r="G2225" t="str">
        <f>"03769650239"</f>
        <v>03769650239</v>
      </c>
      <c r="I2225" t="s">
        <v>1674</v>
      </c>
      <c r="L2225" t="s">
        <v>41</v>
      </c>
      <c r="M2225">
        <v>900</v>
      </c>
      <c r="AG2225">
        <v>900</v>
      </c>
      <c r="AH2225" s="1">
        <v>41479</v>
      </c>
      <c r="AI2225" s="1">
        <v>41489</v>
      </c>
      <c r="AJ2225" s="1">
        <v>41479</v>
      </c>
    </row>
    <row r="2226" spans="1:36" ht="15">
      <c r="A2226" t="str">
        <f>"Z9408E1810"</f>
        <v>Z9408E1810</v>
      </c>
      <c r="B2226" t="str">
        <f t="shared" si="79"/>
        <v>02406911202</v>
      </c>
      <c r="C2226" t="s">
        <v>13</v>
      </c>
      <c r="D2226" t="s">
        <v>930</v>
      </c>
      <c r="E2226" t="s">
        <v>1675</v>
      </c>
      <c r="F2226" t="s">
        <v>796</v>
      </c>
      <c r="G2226" t="str">
        <f>"03587070370"</f>
        <v>03587070370</v>
      </c>
      <c r="I2226" t="s">
        <v>965</v>
      </c>
      <c r="L2226" t="s">
        <v>41</v>
      </c>
      <c r="M2226">
        <v>19900</v>
      </c>
      <c r="AG2226">
        <v>19833.09</v>
      </c>
      <c r="AH2226" s="1">
        <v>41333</v>
      </c>
      <c r="AI2226" s="1">
        <v>41600</v>
      </c>
      <c r="AJ2226" s="1">
        <v>41333</v>
      </c>
    </row>
    <row r="2227" spans="1:36" ht="15">
      <c r="A2227" t="str">
        <f>"Z9503DC00F"</f>
        <v>Z9503DC00F</v>
      </c>
      <c r="B2227" t="str">
        <f t="shared" si="79"/>
        <v>02406911202</v>
      </c>
      <c r="C2227" t="s">
        <v>13</v>
      </c>
      <c r="D2227" t="s">
        <v>930</v>
      </c>
      <c r="E2227" t="s">
        <v>1541</v>
      </c>
      <c r="F2227" t="s">
        <v>796</v>
      </c>
      <c r="G2227" t="str">
        <f>"02009541208"</f>
        <v>02009541208</v>
      </c>
      <c r="I2227" t="s">
        <v>1676</v>
      </c>
      <c r="L2227" t="s">
        <v>41</v>
      </c>
      <c r="M2227">
        <v>1000</v>
      </c>
      <c r="AG2227">
        <v>450</v>
      </c>
      <c r="AH2227" s="1">
        <v>41295</v>
      </c>
      <c r="AI2227" s="1">
        <v>41564</v>
      </c>
      <c r="AJ2227" s="1">
        <v>41295</v>
      </c>
    </row>
    <row r="2228" spans="1:36" ht="15">
      <c r="A2228" t="str">
        <f>"Z999047554"</f>
        <v>Z999047554</v>
      </c>
      <c r="B2228" t="str">
        <f t="shared" si="79"/>
        <v>02406911202</v>
      </c>
      <c r="C2228" t="s">
        <v>13</v>
      </c>
      <c r="D2228" t="s">
        <v>930</v>
      </c>
      <c r="E2228" t="s">
        <v>1507</v>
      </c>
      <c r="F2228" t="s">
        <v>796</v>
      </c>
      <c r="G2228" t="str">
        <f>"02062120395"</f>
        <v>02062120395</v>
      </c>
      <c r="I2228" t="s">
        <v>1677</v>
      </c>
      <c r="L2228" t="s">
        <v>41</v>
      </c>
      <c r="M2228">
        <v>4000</v>
      </c>
      <c r="AG2228">
        <v>3920</v>
      </c>
      <c r="AH2228" s="1">
        <v>41285</v>
      </c>
      <c r="AI2228" s="1">
        <v>41295</v>
      </c>
      <c r="AJ2228" s="1">
        <v>41285</v>
      </c>
    </row>
    <row r="2229" spans="1:36" ht="15">
      <c r="A2229" t="str">
        <f>"Z9B071E0E0"</f>
        <v>Z9B071E0E0</v>
      </c>
      <c r="B2229" t="str">
        <f t="shared" si="79"/>
        <v>02406911202</v>
      </c>
      <c r="C2229" t="s">
        <v>13</v>
      </c>
      <c r="D2229" t="s">
        <v>930</v>
      </c>
      <c r="E2229" t="s">
        <v>1678</v>
      </c>
      <c r="F2229" t="s">
        <v>796</v>
      </c>
      <c r="G2229" t="str">
        <f>"01543860355"</f>
        <v>01543860355</v>
      </c>
      <c r="I2229" t="s">
        <v>1679</v>
      </c>
      <c r="L2229" t="s">
        <v>41</v>
      </c>
      <c r="M2229">
        <v>3113.78</v>
      </c>
      <c r="AG2229">
        <v>3113.77</v>
      </c>
      <c r="AH2229" s="1">
        <v>41276</v>
      </c>
      <c r="AI2229" s="1">
        <v>41286</v>
      </c>
      <c r="AJ2229" s="1">
        <v>41276</v>
      </c>
    </row>
    <row r="2230" spans="1:36" ht="15">
      <c r="A2230" t="str">
        <f>"Z9B0BB292A"</f>
        <v>Z9B0BB292A</v>
      </c>
      <c r="B2230" t="str">
        <f t="shared" si="79"/>
        <v>02406911202</v>
      </c>
      <c r="C2230" t="s">
        <v>13</v>
      </c>
      <c r="D2230" t="s">
        <v>930</v>
      </c>
      <c r="E2230" t="s">
        <v>1541</v>
      </c>
      <c r="F2230" t="s">
        <v>796</v>
      </c>
      <c r="G2230" t="str">
        <f>"02796211205"</f>
        <v>02796211205</v>
      </c>
      <c r="I2230" t="s">
        <v>1630</v>
      </c>
      <c r="L2230" t="s">
        <v>41</v>
      </c>
      <c r="M2230">
        <v>810</v>
      </c>
      <c r="AG2230">
        <v>810</v>
      </c>
      <c r="AH2230" s="1">
        <v>41547</v>
      </c>
      <c r="AI2230" s="1">
        <v>41557</v>
      </c>
      <c r="AJ2230" s="1">
        <v>41547</v>
      </c>
    </row>
    <row r="2231" spans="1:36" ht="15">
      <c r="A2231" t="str">
        <f>"Z9C0A1B638"</f>
        <v>Z9C0A1B638</v>
      </c>
      <c r="B2231" t="str">
        <f t="shared" si="79"/>
        <v>02406911202</v>
      </c>
      <c r="C2231" t="s">
        <v>13</v>
      </c>
      <c r="D2231" t="s">
        <v>930</v>
      </c>
      <c r="E2231" t="s">
        <v>1541</v>
      </c>
      <c r="F2231" t="s">
        <v>796</v>
      </c>
      <c r="G2231" t="str">
        <f>"03269451203"</f>
        <v>03269451203</v>
      </c>
      <c r="I2231" t="s">
        <v>1594</v>
      </c>
      <c r="L2231" t="s">
        <v>41</v>
      </c>
      <c r="M2231">
        <v>462</v>
      </c>
      <c r="AG2231">
        <v>462</v>
      </c>
      <c r="AH2231" s="1">
        <v>41424</v>
      </c>
      <c r="AI2231" s="1">
        <v>41434</v>
      </c>
      <c r="AJ2231" s="1">
        <v>41424</v>
      </c>
    </row>
    <row r="2232" spans="1:36" ht="15">
      <c r="A2232" t="str">
        <f>"Z9C0BFDB7D"</f>
        <v>Z9C0BFDB7D</v>
      </c>
      <c r="B2232" t="str">
        <f t="shared" si="79"/>
        <v>02406911202</v>
      </c>
      <c r="C2232" t="s">
        <v>13</v>
      </c>
      <c r="D2232" t="s">
        <v>930</v>
      </c>
      <c r="E2232" t="s">
        <v>1680</v>
      </c>
      <c r="F2232" t="s">
        <v>796</v>
      </c>
      <c r="G2232" t="str">
        <f>"02373581202"</f>
        <v>02373581202</v>
      </c>
      <c r="I2232" t="s">
        <v>165</v>
      </c>
      <c r="L2232" t="s">
        <v>41</v>
      </c>
      <c r="M2232">
        <v>9861</v>
      </c>
      <c r="AG2232">
        <v>9860.64</v>
      </c>
      <c r="AH2232" s="1">
        <v>41565</v>
      </c>
      <c r="AI2232" s="1">
        <v>41575</v>
      </c>
      <c r="AJ2232" s="1">
        <v>41565</v>
      </c>
    </row>
    <row r="2233" spans="1:36" ht="15">
      <c r="A2233" t="str">
        <f>"Z9D0322E42"</f>
        <v>Z9D0322E42</v>
      </c>
      <c r="B2233" t="str">
        <f t="shared" si="79"/>
        <v>02406911202</v>
      </c>
      <c r="C2233" t="s">
        <v>13</v>
      </c>
      <c r="D2233" t="s">
        <v>930</v>
      </c>
      <c r="E2233" t="s">
        <v>1681</v>
      </c>
      <c r="F2233" t="s">
        <v>796</v>
      </c>
      <c r="G2233" t="str">
        <f>"03717020964"</f>
        <v>03717020964</v>
      </c>
      <c r="I2233" t="s">
        <v>601</v>
      </c>
      <c r="L2233" t="s">
        <v>41</v>
      </c>
      <c r="M2233">
        <v>10000</v>
      </c>
      <c r="AG2233">
        <v>7726.21</v>
      </c>
      <c r="AH2233" s="1">
        <v>41298</v>
      </c>
      <c r="AI2233" s="1">
        <v>41459</v>
      </c>
      <c r="AJ2233" s="1">
        <v>41298</v>
      </c>
    </row>
    <row r="2234" spans="1:36" ht="15">
      <c r="A2234" t="str">
        <f>"Z9EOC9BF99"</f>
        <v>Z9EOC9BF99</v>
      </c>
      <c r="B2234" t="str">
        <f t="shared" si="79"/>
        <v>02406911202</v>
      </c>
      <c r="C2234" t="s">
        <v>13</v>
      </c>
      <c r="D2234" t="s">
        <v>930</v>
      </c>
      <c r="E2234" t="s">
        <v>1590</v>
      </c>
      <c r="F2234" t="s">
        <v>796</v>
      </c>
      <c r="G2234" t="str">
        <f>"01876220383"</f>
        <v>01876220383</v>
      </c>
      <c r="I2234" t="s">
        <v>1682</v>
      </c>
      <c r="L2234" t="s">
        <v>41</v>
      </c>
      <c r="M2234">
        <v>6177</v>
      </c>
      <c r="AG2234">
        <v>6177</v>
      </c>
      <c r="AH2234" s="1">
        <v>41606</v>
      </c>
      <c r="AI2234" s="1">
        <v>41616</v>
      </c>
      <c r="AJ2234" s="1">
        <v>41606</v>
      </c>
    </row>
    <row r="2235" spans="1:36" ht="15">
      <c r="A2235" t="str">
        <f>"Z9F0CE3718"</f>
        <v>Z9F0CE3718</v>
      </c>
      <c r="B2235" t="str">
        <f t="shared" si="79"/>
        <v>02406911202</v>
      </c>
      <c r="C2235" t="s">
        <v>13</v>
      </c>
      <c r="D2235" t="s">
        <v>930</v>
      </c>
      <c r="E2235" t="s">
        <v>1541</v>
      </c>
      <c r="F2235" t="s">
        <v>796</v>
      </c>
      <c r="G2235" t="str">
        <f>"02796211205"</f>
        <v>02796211205</v>
      </c>
      <c r="I2235" t="s">
        <v>1630</v>
      </c>
      <c r="L2235" t="s">
        <v>41</v>
      </c>
      <c r="M2235">
        <v>1080</v>
      </c>
      <c r="AG2235">
        <v>1080</v>
      </c>
      <c r="AH2235" s="1">
        <v>41620</v>
      </c>
      <c r="AI2235" s="1">
        <v>41630</v>
      </c>
      <c r="AJ2235" s="1">
        <v>41620</v>
      </c>
    </row>
    <row r="2236" spans="1:36" ht="15">
      <c r="A2236" t="str">
        <f>"ZA10390965"</f>
        <v>ZA10390965</v>
      </c>
      <c r="B2236" t="str">
        <f t="shared" si="79"/>
        <v>02406911202</v>
      </c>
      <c r="C2236" t="s">
        <v>13</v>
      </c>
      <c r="D2236" t="s">
        <v>930</v>
      </c>
      <c r="E2236" t="s">
        <v>1683</v>
      </c>
      <c r="F2236" t="s">
        <v>796</v>
      </c>
      <c r="G2236" t="str">
        <f>"01670070380"</f>
        <v>01670070380</v>
      </c>
      <c r="I2236" t="s">
        <v>951</v>
      </c>
      <c r="L2236" t="s">
        <v>41</v>
      </c>
      <c r="M2236">
        <v>19900</v>
      </c>
      <c r="AG2236">
        <v>12022.16</v>
      </c>
      <c r="AH2236" s="1">
        <v>41288</v>
      </c>
      <c r="AI2236" s="1">
        <v>41532</v>
      </c>
      <c r="AJ2236" s="1">
        <v>41288</v>
      </c>
    </row>
    <row r="2237" spans="1:36" ht="15">
      <c r="A2237" t="str">
        <f>"ZA10480307"</f>
        <v>ZA10480307</v>
      </c>
      <c r="B2237" t="str">
        <f t="shared" si="79"/>
        <v>02406911202</v>
      </c>
      <c r="C2237" t="s">
        <v>13</v>
      </c>
      <c r="D2237" t="s">
        <v>930</v>
      </c>
      <c r="E2237" t="s">
        <v>1573</v>
      </c>
      <c r="F2237" t="s">
        <v>796</v>
      </c>
      <c r="G2237" t="str">
        <f>"00154000368"</f>
        <v>00154000368</v>
      </c>
      <c r="I2237" t="s">
        <v>969</v>
      </c>
      <c r="L2237" t="s">
        <v>41</v>
      </c>
      <c r="M2237">
        <v>19900</v>
      </c>
      <c r="AG2237">
        <v>5929.48</v>
      </c>
      <c r="AH2237" s="1">
        <v>41276</v>
      </c>
      <c r="AI2237" s="1">
        <v>41286</v>
      </c>
      <c r="AJ2237" s="1">
        <v>41276</v>
      </c>
    </row>
    <row r="2238" spans="1:36" ht="15">
      <c r="A2238" t="str">
        <f>"ZA309D5673"</f>
        <v>ZA309D5673</v>
      </c>
      <c r="B2238" t="str">
        <f t="shared" si="79"/>
        <v>02406911202</v>
      </c>
      <c r="C2238" t="s">
        <v>13</v>
      </c>
      <c r="D2238" t="s">
        <v>930</v>
      </c>
      <c r="E2238" t="s">
        <v>1684</v>
      </c>
      <c r="F2238" t="s">
        <v>796</v>
      </c>
      <c r="G2238" t="str">
        <f>"02538391208"</f>
        <v>02538391208</v>
      </c>
      <c r="I2238" t="s">
        <v>1685</v>
      </c>
      <c r="L2238" t="s">
        <v>41</v>
      </c>
      <c r="M2238">
        <v>25</v>
      </c>
      <c r="AG2238">
        <v>25</v>
      </c>
      <c r="AH2238" s="1">
        <v>41404</v>
      </c>
      <c r="AI2238" s="1">
        <v>41414</v>
      </c>
      <c r="AJ2238" s="1">
        <v>41404</v>
      </c>
    </row>
    <row r="2239" spans="1:36" ht="15">
      <c r="A2239" t="str">
        <f>"ZA50CE37BB"</f>
        <v>ZA50CE37BB</v>
      </c>
      <c r="B2239" t="str">
        <f t="shared" si="79"/>
        <v>02406911202</v>
      </c>
      <c r="C2239" t="s">
        <v>13</v>
      </c>
      <c r="D2239" t="s">
        <v>930</v>
      </c>
      <c r="E2239" t="s">
        <v>1541</v>
      </c>
      <c r="F2239" t="s">
        <v>796</v>
      </c>
      <c r="G2239" t="str">
        <f>"02729911202"</f>
        <v>02729911202</v>
      </c>
      <c r="I2239" t="s">
        <v>1614</v>
      </c>
      <c r="L2239" t="s">
        <v>41</v>
      </c>
      <c r="M2239">
        <v>888</v>
      </c>
      <c r="AG2239">
        <v>888</v>
      </c>
      <c r="AH2239" s="1">
        <v>41620</v>
      </c>
      <c r="AI2239" s="1">
        <v>41630</v>
      </c>
      <c r="AJ2239" s="1">
        <v>41620</v>
      </c>
    </row>
    <row r="2240" spans="1:36" ht="15">
      <c r="A2240" t="str">
        <f>"ZA600894DF"</f>
        <v>ZA600894DF</v>
      </c>
      <c r="B2240" t="str">
        <f t="shared" si="79"/>
        <v>02406911202</v>
      </c>
      <c r="C2240" t="s">
        <v>13</v>
      </c>
      <c r="D2240" t="s">
        <v>930</v>
      </c>
      <c r="E2240" t="s">
        <v>1667</v>
      </c>
      <c r="F2240" t="s">
        <v>796</v>
      </c>
      <c r="G2240" t="str">
        <f>"04156880371"</f>
        <v>04156880371</v>
      </c>
      <c r="I2240" t="s">
        <v>320</v>
      </c>
      <c r="L2240" t="s">
        <v>41</v>
      </c>
      <c r="M2240">
        <v>769</v>
      </c>
      <c r="AG2240">
        <v>769</v>
      </c>
      <c r="AH2240" s="1">
        <v>41571</v>
      </c>
      <c r="AI2240" s="1">
        <v>41581</v>
      </c>
      <c r="AJ2240" s="1">
        <v>41571</v>
      </c>
    </row>
    <row r="2241" spans="1:36" ht="15">
      <c r="A2241" t="str">
        <f>"ZA606AFB13"</f>
        <v>ZA606AFB13</v>
      </c>
      <c r="B2241" t="str">
        <f t="shared" si="79"/>
        <v>02406911202</v>
      </c>
      <c r="C2241" t="s">
        <v>13</v>
      </c>
      <c r="D2241" t="s">
        <v>930</v>
      </c>
      <c r="E2241" t="s">
        <v>1686</v>
      </c>
      <c r="F2241" t="s">
        <v>796</v>
      </c>
      <c r="G2241" t="str">
        <f>"02125550349"</f>
        <v>02125550349</v>
      </c>
      <c r="I2241" t="s">
        <v>1380</v>
      </c>
      <c r="L2241" t="s">
        <v>41</v>
      </c>
      <c r="M2241">
        <v>19900</v>
      </c>
      <c r="AG2241">
        <v>22912.1</v>
      </c>
      <c r="AH2241" s="1">
        <v>41291</v>
      </c>
      <c r="AI2241" s="1">
        <v>41476</v>
      </c>
      <c r="AJ2241" s="1">
        <v>41291</v>
      </c>
    </row>
    <row r="2242" spans="1:36" ht="15">
      <c r="A2242" t="str">
        <f>"ZA70ABAA7B"</f>
        <v>ZA70ABAA7B</v>
      </c>
      <c r="B2242" t="str">
        <f aca="true" t="shared" si="80" ref="B2242:B2305">"02406911202"</f>
        <v>02406911202</v>
      </c>
      <c r="C2242" t="s">
        <v>13</v>
      </c>
      <c r="D2242" t="s">
        <v>930</v>
      </c>
      <c r="E2242" t="s">
        <v>1611</v>
      </c>
      <c r="F2242" t="s">
        <v>796</v>
      </c>
      <c r="G2242" t="str">
        <f>"04148130372"</f>
        <v>04148130372</v>
      </c>
      <c r="I2242" t="s">
        <v>1187</v>
      </c>
      <c r="L2242" t="s">
        <v>41</v>
      </c>
      <c r="M2242">
        <v>1939.48</v>
      </c>
      <c r="AG2242">
        <v>1939.48</v>
      </c>
      <c r="AH2242" s="1">
        <v>41465</v>
      </c>
      <c r="AI2242" s="1">
        <v>41475</v>
      </c>
      <c r="AJ2242" s="1">
        <v>41465</v>
      </c>
    </row>
    <row r="2243" spans="1:36" ht="15">
      <c r="A2243" t="str">
        <f>"ZA70C7340D"</f>
        <v>ZA70C7340D</v>
      </c>
      <c r="B2243" t="str">
        <f t="shared" si="80"/>
        <v>02406911202</v>
      </c>
      <c r="C2243" t="s">
        <v>13</v>
      </c>
      <c r="D2243" t="s">
        <v>930</v>
      </c>
      <c r="E2243" t="s">
        <v>1568</v>
      </c>
      <c r="F2243" t="s">
        <v>796</v>
      </c>
      <c r="G2243" t="str">
        <f>"02082131208"</f>
        <v>02082131208</v>
      </c>
      <c r="I2243" t="s">
        <v>1687</v>
      </c>
      <c r="L2243" t="s">
        <v>41</v>
      </c>
      <c r="M2243">
        <v>525</v>
      </c>
      <c r="AG2243">
        <v>525</v>
      </c>
      <c r="AH2243" s="1">
        <v>41598</v>
      </c>
      <c r="AI2243" s="1">
        <v>41608</v>
      </c>
      <c r="AJ2243" s="1">
        <v>41598</v>
      </c>
    </row>
    <row r="2244" spans="1:36" ht="15">
      <c r="A2244" t="str">
        <f>"ZA9034D8F5"</f>
        <v>ZA9034D8F5</v>
      </c>
      <c r="B2244" t="str">
        <f t="shared" si="80"/>
        <v>02406911202</v>
      </c>
      <c r="C2244" t="s">
        <v>13</v>
      </c>
      <c r="D2244" t="s">
        <v>930</v>
      </c>
      <c r="E2244" t="s">
        <v>1525</v>
      </c>
      <c r="F2244" t="s">
        <v>796</v>
      </c>
      <c r="G2244" t="str">
        <f>"05825840480"</f>
        <v>05825840480</v>
      </c>
      <c r="I2244" t="s">
        <v>1688</v>
      </c>
      <c r="L2244" t="s">
        <v>41</v>
      </c>
      <c r="M2244">
        <v>1000</v>
      </c>
      <c r="AG2244">
        <v>1269</v>
      </c>
      <c r="AH2244" s="1">
        <v>41291</v>
      </c>
      <c r="AI2244" s="1">
        <v>41358</v>
      </c>
      <c r="AJ2244" s="1">
        <v>41291</v>
      </c>
    </row>
    <row r="2245" spans="1:36" ht="15">
      <c r="A2245" t="str">
        <f>"ZAB09FA7D4"</f>
        <v>ZAB09FA7D4</v>
      </c>
      <c r="B2245" t="str">
        <f t="shared" si="80"/>
        <v>02406911202</v>
      </c>
      <c r="C2245" t="s">
        <v>13</v>
      </c>
      <c r="D2245" t="s">
        <v>930</v>
      </c>
      <c r="E2245" t="s">
        <v>1541</v>
      </c>
      <c r="F2245" t="s">
        <v>796</v>
      </c>
      <c r="G2245" t="str">
        <f>"02796211205"</f>
        <v>02796211205</v>
      </c>
      <c r="I2245" t="s">
        <v>1630</v>
      </c>
      <c r="L2245" t="s">
        <v>41</v>
      </c>
      <c r="M2245">
        <v>405</v>
      </c>
      <c r="AG2245">
        <v>405</v>
      </c>
      <c r="AH2245" s="1">
        <v>41415</v>
      </c>
      <c r="AI2245" s="1">
        <v>41425</v>
      </c>
      <c r="AJ2245" s="1">
        <v>41415</v>
      </c>
    </row>
    <row r="2246" spans="1:36" ht="15">
      <c r="A2246" t="str">
        <f>"ZAB0A4D958"</f>
        <v>ZAB0A4D958</v>
      </c>
      <c r="B2246" t="str">
        <f t="shared" si="80"/>
        <v>02406911202</v>
      </c>
      <c r="C2246" t="s">
        <v>13</v>
      </c>
      <c r="D2246" t="s">
        <v>930</v>
      </c>
      <c r="E2246" t="s">
        <v>1541</v>
      </c>
      <c r="F2246" t="s">
        <v>796</v>
      </c>
      <c r="G2246" t="str">
        <f>"04250070374"</f>
        <v>04250070374</v>
      </c>
      <c r="I2246" t="s">
        <v>1689</v>
      </c>
      <c r="L2246" t="s">
        <v>41</v>
      </c>
      <c r="M2246">
        <v>243</v>
      </c>
      <c r="AG2246">
        <v>243</v>
      </c>
      <c r="AH2246" s="1">
        <v>41435</v>
      </c>
      <c r="AI2246" s="1">
        <v>41445</v>
      </c>
      <c r="AJ2246" s="1">
        <v>41435</v>
      </c>
    </row>
    <row r="2247" spans="1:36" ht="15">
      <c r="A2247" t="str">
        <f>"ZAD0831DEA"</f>
        <v>ZAD0831DEA</v>
      </c>
      <c r="B2247" t="str">
        <f t="shared" si="80"/>
        <v>02406911202</v>
      </c>
      <c r="C2247" t="s">
        <v>13</v>
      </c>
      <c r="D2247" t="s">
        <v>930</v>
      </c>
      <c r="E2247" t="s">
        <v>1690</v>
      </c>
      <c r="F2247" t="s">
        <v>796</v>
      </c>
      <c r="G2247" t="str">
        <f>"06860850962"</f>
        <v>06860850962</v>
      </c>
      <c r="I2247" t="s">
        <v>1691</v>
      </c>
      <c r="L2247" t="s">
        <v>41</v>
      </c>
      <c r="M2247">
        <v>1827.5</v>
      </c>
      <c r="AG2247">
        <v>1827.5</v>
      </c>
      <c r="AH2247" s="1">
        <v>41292</v>
      </c>
      <c r="AI2247" s="1">
        <v>41302</v>
      </c>
      <c r="AJ2247" s="1">
        <v>41292</v>
      </c>
    </row>
    <row r="2248" spans="1:36" ht="15">
      <c r="A2248" t="str">
        <f>"ZB0029FB4B"</f>
        <v>ZB0029FB4B</v>
      </c>
      <c r="B2248" t="str">
        <f t="shared" si="80"/>
        <v>02406911202</v>
      </c>
      <c r="C2248" t="s">
        <v>13</v>
      </c>
      <c r="D2248" t="s">
        <v>930</v>
      </c>
      <c r="E2248" t="s">
        <v>1692</v>
      </c>
      <c r="F2248" t="s">
        <v>796</v>
      </c>
      <c r="G2248" t="str">
        <f>"03597020373"</f>
        <v>03597020373</v>
      </c>
      <c r="I2248" t="s">
        <v>100</v>
      </c>
      <c r="L2248" t="s">
        <v>41</v>
      </c>
      <c r="M2248">
        <v>19900</v>
      </c>
      <c r="AG2248">
        <v>5731.5</v>
      </c>
      <c r="AH2248" s="1">
        <v>41281</v>
      </c>
      <c r="AI2248" s="1">
        <v>41390</v>
      </c>
      <c r="AJ2248" s="1">
        <v>41281</v>
      </c>
    </row>
    <row r="2249" spans="1:36" ht="15">
      <c r="A2249" t="str">
        <f>"ZB409D5330"</f>
        <v>ZB409D5330</v>
      </c>
      <c r="B2249" t="str">
        <f t="shared" si="80"/>
        <v>02406911202</v>
      </c>
      <c r="C2249" t="s">
        <v>13</v>
      </c>
      <c r="D2249" t="s">
        <v>930</v>
      </c>
      <c r="E2249" t="s">
        <v>1693</v>
      </c>
      <c r="F2249" t="s">
        <v>796</v>
      </c>
      <c r="G2249" t="str">
        <f>"00043230390"</f>
        <v>00043230390</v>
      </c>
      <c r="I2249" t="s">
        <v>1694</v>
      </c>
      <c r="L2249" t="s">
        <v>41</v>
      </c>
      <c r="M2249">
        <v>78.08</v>
      </c>
      <c r="AG2249">
        <v>78.08</v>
      </c>
      <c r="AH2249" s="1">
        <v>41407</v>
      </c>
      <c r="AI2249" s="1">
        <v>41417</v>
      </c>
      <c r="AJ2249" s="1">
        <v>41407</v>
      </c>
    </row>
    <row r="2250" spans="1:36" ht="15">
      <c r="A2250" t="str">
        <f>"ZB40C6B42C"</f>
        <v>ZB40C6B42C</v>
      </c>
      <c r="B2250" t="str">
        <f t="shared" si="80"/>
        <v>02406911202</v>
      </c>
      <c r="C2250" t="s">
        <v>13</v>
      </c>
      <c r="D2250" t="s">
        <v>930</v>
      </c>
      <c r="E2250" t="s">
        <v>1541</v>
      </c>
      <c r="F2250" t="s">
        <v>796</v>
      </c>
      <c r="G2250" t="str">
        <f>"02524481203"</f>
        <v>02524481203</v>
      </c>
      <c r="I2250" t="s">
        <v>1695</v>
      </c>
      <c r="L2250" t="s">
        <v>41</v>
      </c>
      <c r="M2250">
        <v>1020</v>
      </c>
      <c r="AG2250">
        <v>1020</v>
      </c>
      <c r="AH2250" s="1">
        <v>41596</v>
      </c>
      <c r="AI2250" s="1">
        <v>41606</v>
      </c>
      <c r="AJ2250" s="1">
        <v>41596</v>
      </c>
    </row>
    <row r="2251" spans="1:36" ht="15">
      <c r="A2251" t="str">
        <f>"ZB7061C4BA"</f>
        <v>ZB7061C4BA</v>
      </c>
      <c r="B2251" t="str">
        <f t="shared" si="80"/>
        <v>02406911202</v>
      </c>
      <c r="C2251" t="s">
        <v>13</v>
      </c>
      <c r="D2251" t="s">
        <v>930</v>
      </c>
      <c r="E2251" t="s">
        <v>1696</v>
      </c>
      <c r="F2251" t="s">
        <v>796</v>
      </c>
      <c r="G2251" t="str">
        <f>"01410030090"</f>
        <v>01410030090</v>
      </c>
      <c r="I2251" t="s">
        <v>1697</v>
      </c>
      <c r="L2251" t="s">
        <v>41</v>
      </c>
      <c r="M2251">
        <v>2000</v>
      </c>
      <c r="AG2251">
        <v>2481.21</v>
      </c>
      <c r="AH2251" s="1">
        <v>41506</v>
      </c>
      <c r="AI2251" s="1">
        <v>41516</v>
      </c>
      <c r="AJ2251" s="1">
        <v>41506</v>
      </c>
    </row>
    <row r="2252" spans="1:36" ht="15">
      <c r="A2252" t="str">
        <f>"ZB80C8C2C8"</f>
        <v>ZB80C8C2C8</v>
      </c>
      <c r="B2252" t="str">
        <f t="shared" si="80"/>
        <v>02406911202</v>
      </c>
      <c r="C2252" t="s">
        <v>13</v>
      </c>
      <c r="D2252" t="s">
        <v>930</v>
      </c>
      <c r="E2252" t="s">
        <v>1541</v>
      </c>
      <c r="F2252" t="s">
        <v>796</v>
      </c>
      <c r="G2252" t="str">
        <f>"02729911202"</f>
        <v>02729911202</v>
      </c>
      <c r="I2252" t="s">
        <v>1614</v>
      </c>
      <c r="L2252" t="s">
        <v>41</v>
      </c>
      <c r="M2252">
        <v>888</v>
      </c>
      <c r="AG2252">
        <v>888</v>
      </c>
      <c r="AH2252" s="1">
        <v>41613</v>
      </c>
      <c r="AI2252" s="1">
        <v>41623</v>
      </c>
      <c r="AJ2252" s="1">
        <v>41613</v>
      </c>
    </row>
    <row r="2253" spans="1:36" ht="15">
      <c r="A2253" t="str">
        <f>"ZBA038BEC1"</f>
        <v>ZBA038BEC1</v>
      </c>
      <c r="B2253" t="str">
        <f t="shared" si="80"/>
        <v>02406911202</v>
      </c>
      <c r="C2253" t="s">
        <v>13</v>
      </c>
      <c r="D2253" t="s">
        <v>930</v>
      </c>
      <c r="E2253" t="s">
        <v>1510</v>
      </c>
      <c r="F2253" t="s">
        <v>796</v>
      </c>
      <c r="G2253" t="str">
        <f>"00590071205"</f>
        <v>00590071205</v>
      </c>
      <c r="I2253" t="s">
        <v>1388</v>
      </c>
      <c r="L2253" t="s">
        <v>41</v>
      </c>
      <c r="M2253">
        <v>1000</v>
      </c>
      <c r="AG2253">
        <v>492.12</v>
      </c>
      <c r="AH2253" s="1">
        <v>41297</v>
      </c>
      <c r="AI2253" s="1">
        <v>41307</v>
      </c>
      <c r="AJ2253" s="1">
        <v>41297</v>
      </c>
    </row>
    <row r="2254" spans="1:36" ht="15">
      <c r="A2254" t="str">
        <f>"ZBC00BB7EC"</f>
        <v>ZBC00BB7EC</v>
      </c>
      <c r="B2254" t="str">
        <f t="shared" si="80"/>
        <v>02406911202</v>
      </c>
      <c r="C2254" t="s">
        <v>13</v>
      </c>
      <c r="D2254" t="s">
        <v>930</v>
      </c>
      <c r="E2254" t="s">
        <v>1507</v>
      </c>
      <c r="F2254" t="s">
        <v>796</v>
      </c>
      <c r="G2254" t="str">
        <f>"00688220961"</f>
        <v>00688220961</v>
      </c>
      <c r="I2254" t="s">
        <v>1056</v>
      </c>
      <c r="L2254" t="s">
        <v>41</v>
      </c>
      <c r="M2254">
        <v>2000</v>
      </c>
      <c r="AG2254">
        <v>1231</v>
      </c>
      <c r="AH2254" s="1">
        <v>41556</v>
      </c>
      <c r="AI2254" s="1">
        <v>41566</v>
      </c>
      <c r="AJ2254" s="1">
        <v>41556</v>
      </c>
    </row>
    <row r="2255" spans="1:36" ht="15">
      <c r="A2255" t="str">
        <f>"ZBC014CF8E"</f>
        <v>ZBC014CF8E</v>
      </c>
      <c r="B2255" t="str">
        <f t="shared" si="80"/>
        <v>02406911202</v>
      </c>
      <c r="C2255" t="s">
        <v>13</v>
      </c>
      <c r="D2255" t="s">
        <v>930</v>
      </c>
      <c r="E2255" t="s">
        <v>1580</v>
      </c>
      <c r="F2255" t="s">
        <v>796</v>
      </c>
      <c r="G2255" t="str">
        <f>"00718330152"</f>
        <v>00718330152</v>
      </c>
      <c r="I2255" t="s">
        <v>1698</v>
      </c>
      <c r="L2255" t="s">
        <v>41</v>
      </c>
      <c r="M2255">
        <v>150.69</v>
      </c>
      <c r="AG2255">
        <v>150.69</v>
      </c>
      <c r="AH2255" s="1">
        <v>41481</v>
      </c>
      <c r="AI2255" s="1">
        <v>41491</v>
      </c>
      <c r="AJ2255" s="1">
        <v>41481</v>
      </c>
    </row>
    <row r="2256" spans="1:36" ht="15">
      <c r="A2256" t="str">
        <f>"ZBD0BBE8B2"</f>
        <v>ZBD0BBE8B2</v>
      </c>
      <c r="B2256" t="str">
        <f t="shared" si="80"/>
        <v>02406911202</v>
      </c>
      <c r="C2256" t="s">
        <v>13</v>
      </c>
      <c r="D2256" t="s">
        <v>930</v>
      </c>
      <c r="E2256" t="s">
        <v>1699</v>
      </c>
      <c r="F2256" t="s">
        <v>796</v>
      </c>
      <c r="G2256" t="str">
        <f>"02479840122"</f>
        <v>02479840122</v>
      </c>
      <c r="I2256" t="s">
        <v>1700</v>
      </c>
      <c r="L2256" t="s">
        <v>41</v>
      </c>
      <c r="M2256">
        <v>1049.2</v>
      </c>
      <c r="AG2256">
        <v>1049.2</v>
      </c>
      <c r="AH2256" s="1">
        <v>41550</v>
      </c>
      <c r="AI2256" s="1">
        <v>41560</v>
      </c>
      <c r="AJ2256" s="1">
        <v>41550</v>
      </c>
    </row>
    <row r="2257" spans="1:36" ht="15">
      <c r="A2257" t="str">
        <f>"ZBE0D019FF"</f>
        <v>ZBE0D019FF</v>
      </c>
      <c r="B2257" t="str">
        <f t="shared" si="80"/>
        <v>02406911202</v>
      </c>
      <c r="C2257" t="s">
        <v>13</v>
      </c>
      <c r="D2257" t="s">
        <v>930</v>
      </c>
      <c r="E2257" t="s">
        <v>1568</v>
      </c>
      <c r="F2257" t="s">
        <v>796</v>
      </c>
      <c r="G2257" t="str">
        <f>"00326930377"</f>
        <v>00326930377</v>
      </c>
      <c r="I2257" t="s">
        <v>1701</v>
      </c>
      <c r="L2257" t="s">
        <v>41</v>
      </c>
      <c r="M2257">
        <v>1117</v>
      </c>
      <c r="AG2257">
        <v>1117</v>
      </c>
      <c r="AH2257" s="1">
        <v>41638</v>
      </c>
      <c r="AI2257" s="1">
        <v>41648</v>
      </c>
      <c r="AJ2257" s="1">
        <v>41638</v>
      </c>
    </row>
    <row r="2258" spans="1:36" ht="15">
      <c r="A2258" t="str">
        <f>"ZC00A9E852"</f>
        <v>ZC00A9E852</v>
      </c>
      <c r="B2258" t="str">
        <f t="shared" si="80"/>
        <v>02406911202</v>
      </c>
      <c r="C2258" t="s">
        <v>13</v>
      </c>
      <c r="D2258" t="s">
        <v>930</v>
      </c>
      <c r="E2258" t="s">
        <v>1702</v>
      </c>
      <c r="F2258" t="s">
        <v>796</v>
      </c>
      <c r="G2258" t="str">
        <f>"03494730371"</f>
        <v>03494730371</v>
      </c>
      <c r="I2258" t="s">
        <v>1703</v>
      </c>
      <c r="L2258" t="s">
        <v>41</v>
      </c>
      <c r="M2258">
        <v>1791</v>
      </c>
      <c r="AG2258">
        <v>1791</v>
      </c>
      <c r="AH2258" s="1">
        <v>41458</v>
      </c>
      <c r="AI2258" s="1">
        <v>41550</v>
      </c>
      <c r="AJ2258" s="1">
        <v>41458</v>
      </c>
    </row>
    <row r="2259" spans="1:36" ht="15">
      <c r="A2259" t="str">
        <f>"ZC20312B95"</f>
        <v>ZC20312B95</v>
      </c>
      <c r="B2259" t="str">
        <f t="shared" si="80"/>
        <v>02406911202</v>
      </c>
      <c r="C2259" t="s">
        <v>13</v>
      </c>
      <c r="D2259" t="s">
        <v>930</v>
      </c>
      <c r="E2259" t="s">
        <v>1704</v>
      </c>
      <c r="F2259" t="s">
        <v>796</v>
      </c>
      <c r="G2259" t="str">
        <f>"12971700153"</f>
        <v>12971700153</v>
      </c>
      <c r="I2259" t="s">
        <v>1012</v>
      </c>
      <c r="L2259" t="s">
        <v>41</v>
      </c>
      <c r="M2259">
        <v>19900</v>
      </c>
      <c r="AG2259">
        <v>19952.84</v>
      </c>
      <c r="AH2259" s="1">
        <v>41283</v>
      </c>
      <c r="AI2259" s="1">
        <v>41313</v>
      </c>
      <c r="AJ2259" s="1">
        <v>41283</v>
      </c>
    </row>
    <row r="2260" spans="1:36" ht="15">
      <c r="A2260" t="str">
        <f>"ZC4014A49C"</f>
        <v>ZC4014A49C</v>
      </c>
      <c r="B2260" t="str">
        <f t="shared" si="80"/>
        <v>02406911202</v>
      </c>
      <c r="C2260" t="s">
        <v>13</v>
      </c>
      <c r="D2260" t="s">
        <v>930</v>
      </c>
      <c r="E2260" t="s">
        <v>1521</v>
      </c>
      <c r="F2260" t="s">
        <v>796</v>
      </c>
      <c r="G2260" t="str">
        <f>"04093040378"</f>
        <v>04093040378</v>
      </c>
      <c r="I2260" t="s">
        <v>1705</v>
      </c>
      <c r="L2260" t="s">
        <v>41</v>
      </c>
      <c r="M2260">
        <v>2000</v>
      </c>
      <c r="AG2260">
        <v>892</v>
      </c>
      <c r="AH2260" s="1">
        <v>41278</v>
      </c>
      <c r="AI2260" s="1">
        <v>41288</v>
      </c>
      <c r="AJ2260" s="1">
        <v>41278</v>
      </c>
    </row>
    <row r="2261" spans="1:36" ht="15">
      <c r="A2261" t="str">
        <f>"ZC40D267E5"</f>
        <v>ZC40D267E5</v>
      </c>
      <c r="B2261" t="str">
        <f t="shared" si="80"/>
        <v>02406911202</v>
      </c>
      <c r="C2261" t="s">
        <v>13</v>
      </c>
      <c r="D2261" t="s">
        <v>930</v>
      </c>
      <c r="E2261" t="s">
        <v>1556</v>
      </c>
      <c r="F2261" t="s">
        <v>796</v>
      </c>
      <c r="G2261" t="str">
        <f>"03232651202"</f>
        <v>03232651202</v>
      </c>
      <c r="I2261" t="s">
        <v>1706</v>
      </c>
      <c r="L2261" t="s">
        <v>41</v>
      </c>
      <c r="M2261">
        <v>90</v>
      </c>
      <c r="AG2261">
        <v>90</v>
      </c>
      <c r="AH2261" s="1">
        <v>41639</v>
      </c>
      <c r="AI2261" s="1">
        <v>41649</v>
      </c>
      <c r="AJ2261" s="1">
        <v>41639</v>
      </c>
    </row>
    <row r="2262" spans="1:36" ht="15">
      <c r="A2262" t="str">
        <f>"ZC50351C50"</f>
        <v>ZC50351C50</v>
      </c>
      <c r="B2262" t="str">
        <f t="shared" si="80"/>
        <v>02406911202</v>
      </c>
      <c r="C2262" t="s">
        <v>13</v>
      </c>
      <c r="D2262" t="s">
        <v>930</v>
      </c>
      <c r="E2262" t="s">
        <v>1707</v>
      </c>
      <c r="F2262" t="s">
        <v>796</v>
      </c>
      <c r="G2262" t="str">
        <f>"00926020066"</f>
        <v>00926020066</v>
      </c>
      <c r="I2262" t="s">
        <v>1017</v>
      </c>
      <c r="L2262" t="s">
        <v>41</v>
      </c>
      <c r="M2262">
        <v>19900</v>
      </c>
      <c r="AG2262">
        <v>11649.2</v>
      </c>
      <c r="AH2262" s="1">
        <v>41285</v>
      </c>
      <c r="AI2262" s="1">
        <v>41413</v>
      </c>
      <c r="AJ2262" s="1">
        <v>41285</v>
      </c>
    </row>
    <row r="2263" spans="1:36" ht="15">
      <c r="A2263" t="str">
        <f>"ZC60203820"</f>
        <v>ZC60203820</v>
      </c>
      <c r="B2263" t="str">
        <f t="shared" si="80"/>
        <v>02406911202</v>
      </c>
      <c r="C2263" t="s">
        <v>13</v>
      </c>
      <c r="D2263" t="s">
        <v>930</v>
      </c>
      <c r="E2263" t="s">
        <v>1510</v>
      </c>
      <c r="F2263" t="s">
        <v>796</v>
      </c>
      <c r="G2263" t="str">
        <f>"00435080304"</f>
        <v>00435080304</v>
      </c>
      <c r="I2263" t="s">
        <v>1421</v>
      </c>
      <c r="L2263" t="s">
        <v>41</v>
      </c>
      <c r="M2263">
        <v>860</v>
      </c>
      <c r="AG2263">
        <v>860</v>
      </c>
      <c r="AH2263" s="1">
        <v>41333</v>
      </c>
      <c r="AI2263" s="1">
        <v>41343</v>
      </c>
      <c r="AJ2263" s="1">
        <v>41333</v>
      </c>
    </row>
    <row r="2264" spans="1:36" ht="15">
      <c r="A2264" t="str">
        <f>"ZC90574536"</f>
        <v>ZC90574536</v>
      </c>
      <c r="B2264" t="str">
        <f t="shared" si="80"/>
        <v>02406911202</v>
      </c>
      <c r="C2264" t="s">
        <v>13</v>
      </c>
      <c r="D2264" t="s">
        <v>930</v>
      </c>
      <c r="E2264" t="s">
        <v>1708</v>
      </c>
      <c r="F2264" t="s">
        <v>796</v>
      </c>
      <c r="G2264" t="str">
        <f>"02695920401"</f>
        <v>02695920401</v>
      </c>
      <c r="I2264" t="s">
        <v>1709</v>
      </c>
      <c r="L2264" t="s">
        <v>41</v>
      </c>
      <c r="M2264">
        <v>710</v>
      </c>
      <c r="AG2264">
        <v>360</v>
      </c>
      <c r="AH2264" s="1">
        <v>41281</v>
      </c>
      <c r="AI2264" s="1">
        <v>41362</v>
      </c>
      <c r="AJ2264" s="1">
        <v>41281</v>
      </c>
    </row>
    <row r="2265" spans="1:36" ht="15">
      <c r="A2265" t="str">
        <f>"ZCB0220A37"</f>
        <v>ZCB0220A37</v>
      </c>
      <c r="B2265" t="str">
        <f t="shared" si="80"/>
        <v>02406911202</v>
      </c>
      <c r="C2265" t="s">
        <v>13</v>
      </c>
      <c r="D2265" t="s">
        <v>930</v>
      </c>
      <c r="E2265" t="s">
        <v>1710</v>
      </c>
      <c r="F2265" t="s">
        <v>796</v>
      </c>
      <c r="G2265" t="str">
        <f>"01911071007"</f>
        <v>01911071007</v>
      </c>
      <c r="I2265" t="s">
        <v>1414</v>
      </c>
      <c r="L2265" t="s">
        <v>41</v>
      </c>
      <c r="M2265">
        <v>950</v>
      </c>
      <c r="AG2265">
        <v>950</v>
      </c>
      <c r="AH2265" s="1">
        <v>41359</v>
      </c>
      <c r="AI2265" s="1">
        <v>41369</v>
      </c>
      <c r="AJ2265" s="1">
        <v>41359</v>
      </c>
    </row>
    <row r="2266" spans="1:36" ht="15">
      <c r="A2266" t="str">
        <f>"ZCC0B17FE7"</f>
        <v>ZCC0B17FE7</v>
      </c>
      <c r="B2266" t="str">
        <f t="shared" si="80"/>
        <v>02406911202</v>
      </c>
      <c r="C2266" t="s">
        <v>13</v>
      </c>
      <c r="D2266" t="s">
        <v>930</v>
      </c>
      <c r="E2266" t="s">
        <v>1541</v>
      </c>
      <c r="F2266" t="s">
        <v>796</v>
      </c>
      <c r="G2266" t="str">
        <f>"04250070374"</f>
        <v>04250070374</v>
      </c>
      <c r="I2266" t="s">
        <v>1689</v>
      </c>
      <c r="L2266" t="s">
        <v>41</v>
      </c>
      <c r="M2266">
        <v>501</v>
      </c>
      <c r="AG2266">
        <v>501</v>
      </c>
      <c r="AH2266" s="1">
        <v>41505</v>
      </c>
      <c r="AI2266" s="1">
        <v>41515</v>
      </c>
      <c r="AJ2266" s="1">
        <v>41505</v>
      </c>
    </row>
    <row r="2267" spans="1:36" ht="15">
      <c r="A2267" t="str">
        <f>"ZCD0B75377"</f>
        <v>ZCD0B75377</v>
      </c>
      <c r="B2267" t="str">
        <f t="shared" si="80"/>
        <v>02406911202</v>
      </c>
      <c r="C2267" t="s">
        <v>13</v>
      </c>
      <c r="D2267" t="s">
        <v>930</v>
      </c>
      <c r="E2267" t="s">
        <v>1541</v>
      </c>
      <c r="F2267" t="s">
        <v>796</v>
      </c>
      <c r="G2267" t="str">
        <f>"04245520376"</f>
        <v>04245520376</v>
      </c>
      <c r="I2267" t="s">
        <v>1711</v>
      </c>
      <c r="L2267" t="s">
        <v>41</v>
      </c>
      <c r="M2267">
        <v>150</v>
      </c>
      <c r="AG2267">
        <v>150</v>
      </c>
      <c r="AH2267" s="1">
        <v>41555</v>
      </c>
      <c r="AI2267" s="1">
        <v>41565</v>
      </c>
      <c r="AJ2267" s="1">
        <v>41555</v>
      </c>
    </row>
    <row r="2268" spans="1:36" ht="15">
      <c r="A2268" t="str">
        <f>"ZCF029B43B"</f>
        <v>ZCF029B43B</v>
      </c>
      <c r="B2268" t="str">
        <f t="shared" si="80"/>
        <v>02406911202</v>
      </c>
      <c r="C2268" t="s">
        <v>13</v>
      </c>
      <c r="D2268" t="s">
        <v>930</v>
      </c>
      <c r="E2268" t="s">
        <v>1712</v>
      </c>
      <c r="F2268" t="s">
        <v>796</v>
      </c>
      <c r="G2268" t="str">
        <f>"01122350380"</f>
        <v>01122350380</v>
      </c>
      <c r="I2268" t="s">
        <v>163</v>
      </c>
      <c r="L2268" t="s">
        <v>41</v>
      </c>
      <c r="M2268">
        <v>19900</v>
      </c>
      <c r="AG2268">
        <v>15812.93</v>
      </c>
      <c r="AH2268" s="1">
        <v>41278</v>
      </c>
      <c r="AI2268" s="1">
        <v>41637</v>
      </c>
      <c r="AJ2268" s="1">
        <v>41278</v>
      </c>
    </row>
    <row r="2269" spans="1:36" ht="15">
      <c r="A2269" t="str">
        <f>"ZCF064CCDD"</f>
        <v>ZCF064CCDD</v>
      </c>
      <c r="B2269" t="str">
        <f t="shared" si="80"/>
        <v>02406911202</v>
      </c>
      <c r="C2269" t="s">
        <v>13</v>
      </c>
      <c r="D2269" t="s">
        <v>930</v>
      </c>
      <c r="E2269" t="s">
        <v>1713</v>
      </c>
      <c r="F2269" t="s">
        <v>796</v>
      </c>
      <c r="G2269" t="str">
        <f>"12250050155"</f>
        <v>12250050155</v>
      </c>
      <c r="I2269" t="s">
        <v>1134</v>
      </c>
      <c r="L2269" t="s">
        <v>41</v>
      </c>
      <c r="M2269">
        <v>19900</v>
      </c>
      <c r="AG2269">
        <v>5046.6</v>
      </c>
      <c r="AH2269" s="1">
        <v>41285</v>
      </c>
      <c r="AI2269" s="1">
        <v>41312</v>
      </c>
      <c r="AJ2269" s="1">
        <v>41285</v>
      </c>
    </row>
    <row r="2270" spans="1:36" ht="15">
      <c r="A2270" t="str">
        <f>"ZCF0954F7B"</f>
        <v>ZCF0954F7B</v>
      </c>
      <c r="B2270" t="str">
        <f t="shared" si="80"/>
        <v>02406911202</v>
      </c>
      <c r="C2270" t="s">
        <v>13</v>
      </c>
      <c r="D2270" t="s">
        <v>930</v>
      </c>
      <c r="E2270" t="s">
        <v>1714</v>
      </c>
      <c r="F2270" t="s">
        <v>796</v>
      </c>
      <c r="G2270" t="str">
        <f>"09441610152"</f>
        <v>09441610152</v>
      </c>
      <c r="I2270" t="s">
        <v>1715</v>
      </c>
      <c r="L2270" t="s">
        <v>41</v>
      </c>
      <c r="M2270">
        <v>19500</v>
      </c>
      <c r="AG2270">
        <v>19500</v>
      </c>
      <c r="AH2270" s="1">
        <v>41366</v>
      </c>
      <c r="AI2270" s="1">
        <v>41585</v>
      </c>
      <c r="AJ2270" s="1">
        <v>41366</v>
      </c>
    </row>
    <row r="2271" spans="1:36" ht="15">
      <c r="A2271" t="str">
        <f>"ZD108BC2BB"</f>
        <v>ZD108BC2BB</v>
      </c>
      <c r="B2271" t="str">
        <f t="shared" si="80"/>
        <v>02406911202</v>
      </c>
      <c r="C2271" t="s">
        <v>13</v>
      </c>
      <c r="D2271" t="s">
        <v>930</v>
      </c>
      <c r="E2271" t="s">
        <v>1716</v>
      </c>
      <c r="F2271" t="s">
        <v>796</v>
      </c>
      <c r="G2271" t="str">
        <f>"05825840480"</f>
        <v>05825840480</v>
      </c>
      <c r="I2271" t="s">
        <v>1688</v>
      </c>
      <c r="L2271" t="s">
        <v>41</v>
      </c>
      <c r="M2271">
        <v>710</v>
      </c>
      <c r="AG2271">
        <v>710</v>
      </c>
      <c r="AH2271" s="1">
        <v>41324</v>
      </c>
      <c r="AI2271" s="1">
        <v>41484</v>
      </c>
      <c r="AJ2271" s="1">
        <v>41324</v>
      </c>
    </row>
    <row r="2272" spans="1:36" ht="15">
      <c r="A2272" t="str">
        <f>"ZD10B80FD0"</f>
        <v>ZD10B80FD0</v>
      </c>
      <c r="B2272" t="str">
        <f t="shared" si="80"/>
        <v>02406911202</v>
      </c>
      <c r="C2272" t="s">
        <v>13</v>
      </c>
      <c r="D2272" t="s">
        <v>930</v>
      </c>
      <c r="E2272" t="s">
        <v>1717</v>
      </c>
      <c r="F2272" t="s">
        <v>796</v>
      </c>
      <c r="G2272" t="str">
        <f>"03073250361"</f>
        <v>03073250361</v>
      </c>
      <c r="I2272" t="s">
        <v>1595</v>
      </c>
      <c r="L2272" t="s">
        <v>41</v>
      </c>
      <c r="M2272">
        <v>3025</v>
      </c>
      <c r="AG2272">
        <v>3493.8</v>
      </c>
      <c r="AH2272" s="1">
        <v>41543</v>
      </c>
      <c r="AI2272" s="1">
        <v>41553</v>
      </c>
      <c r="AJ2272" s="1">
        <v>41543</v>
      </c>
    </row>
    <row r="2273" spans="1:36" ht="15">
      <c r="A2273" t="str">
        <f>"ZD200D50D3"</f>
        <v>ZD200D50D3</v>
      </c>
      <c r="B2273" t="str">
        <f t="shared" si="80"/>
        <v>02406911202</v>
      </c>
      <c r="C2273" t="s">
        <v>13</v>
      </c>
      <c r="D2273" t="s">
        <v>930</v>
      </c>
      <c r="E2273" t="s">
        <v>1718</v>
      </c>
      <c r="F2273" t="s">
        <v>796</v>
      </c>
      <c r="G2273" t="str">
        <f>"02503150373"</f>
        <v>02503150373</v>
      </c>
      <c r="I2273" t="s">
        <v>1386</v>
      </c>
      <c r="L2273" t="s">
        <v>41</v>
      </c>
      <c r="M2273">
        <v>1743</v>
      </c>
      <c r="AG2273">
        <v>1743</v>
      </c>
      <c r="AH2273" s="1">
        <v>41341</v>
      </c>
      <c r="AI2273" s="1">
        <v>41585</v>
      </c>
      <c r="AJ2273" s="1">
        <v>41341</v>
      </c>
    </row>
    <row r="2274" spans="1:36" ht="15">
      <c r="A2274" t="str">
        <f>"ZD201A9C08"</f>
        <v>ZD201A9C08</v>
      </c>
      <c r="B2274" t="str">
        <f t="shared" si="80"/>
        <v>02406911202</v>
      </c>
      <c r="C2274" t="s">
        <v>13</v>
      </c>
      <c r="D2274" t="s">
        <v>930</v>
      </c>
      <c r="E2274" t="s">
        <v>1719</v>
      </c>
      <c r="F2274" t="s">
        <v>796</v>
      </c>
      <c r="G2274" t="str">
        <f>"01135081006"</f>
        <v>01135081006</v>
      </c>
      <c r="I2274" t="s">
        <v>1720</v>
      </c>
      <c r="L2274" t="s">
        <v>41</v>
      </c>
      <c r="M2274">
        <v>367</v>
      </c>
      <c r="AG2274">
        <v>367</v>
      </c>
      <c r="AH2274" s="1">
        <v>41430</v>
      </c>
      <c r="AI2274" s="1">
        <v>41440</v>
      </c>
      <c r="AJ2274" s="1">
        <v>41430</v>
      </c>
    </row>
    <row r="2275" spans="1:36" ht="15">
      <c r="A2275" t="str">
        <f>"ZD20327373"</f>
        <v>ZD20327373</v>
      </c>
      <c r="B2275" t="str">
        <f t="shared" si="80"/>
        <v>02406911202</v>
      </c>
      <c r="C2275" t="s">
        <v>13</v>
      </c>
      <c r="D2275" t="s">
        <v>930</v>
      </c>
      <c r="E2275" t="s">
        <v>1721</v>
      </c>
      <c r="F2275" t="s">
        <v>796</v>
      </c>
      <c r="G2275" t="str">
        <f>"03357460371"</f>
        <v>03357460371</v>
      </c>
      <c r="I2275" t="s">
        <v>1722</v>
      </c>
      <c r="L2275" t="s">
        <v>41</v>
      </c>
      <c r="M2275">
        <v>5000</v>
      </c>
      <c r="AG2275">
        <v>1400</v>
      </c>
      <c r="AH2275" s="1">
        <v>41278</v>
      </c>
      <c r="AI2275" s="1">
        <v>41431</v>
      </c>
      <c r="AJ2275" s="1">
        <v>41278</v>
      </c>
    </row>
    <row r="2276" spans="1:36" ht="15">
      <c r="A2276" t="str">
        <f>"ZD401C9488"</f>
        <v>ZD401C9488</v>
      </c>
      <c r="B2276" t="str">
        <f t="shared" si="80"/>
        <v>02406911202</v>
      </c>
      <c r="C2276" t="s">
        <v>13</v>
      </c>
      <c r="D2276" t="s">
        <v>930</v>
      </c>
      <c r="E2276" t="s">
        <v>1507</v>
      </c>
      <c r="F2276" t="s">
        <v>796</v>
      </c>
      <c r="G2276" t="str">
        <f>"01776511204"</f>
        <v>01776511204</v>
      </c>
      <c r="I2276" t="s">
        <v>1723</v>
      </c>
      <c r="L2276" t="s">
        <v>41</v>
      </c>
      <c r="M2276">
        <v>531</v>
      </c>
      <c r="AG2276">
        <v>531</v>
      </c>
      <c r="AH2276" s="1">
        <v>41556</v>
      </c>
      <c r="AI2276" s="1">
        <v>41566</v>
      </c>
      <c r="AJ2276" s="1">
        <v>41556</v>
      </c>
    </row>
    <row r="2277" spans="1:36" ht="15">
      <c r="A2277" t="str">
        <f>"ZD50754970"</f>
        <v>ZD50754970</v>
      </c>
      <c r="B2277" t="str">
        <f t="shared" si="80"/>
        <v>02406911202</v>
      </c>
      <c r="C2277" t="s">
        <v>13</v>
      </c>
      <c r="D2277" t="s">
        <v>930</v>
      </c>
      <c r="E2277" t="s">
        <v>1507</v>
      </c>
      <c r="F2277" t="s">
        <v>796</v>
      </c>
      <c r="G2277" t="str">
        <f>"02396230183"</f>
        <v>02396230183</v>
      </c>
      <c r="I2277" t="s">
        <v>1724</v>
      </c>
      <c r="L2277" t="s">
        <v>41</v>
      </c>
      <c r="M2277">
        <v>1000</v>
      </c>
      <c r="AG2277">
        <v>940</v>
      </c>
      <c r="AH2277" s="1">
        <v>41479</v>
      </c>
      <c r="AI2277" s="1">
        <v>41489</v>
      </c>
      <c r="AJ2277" s="1">
        <v>41479</v>
      </c>
    </row>
    <row r="2278" spans="1:36" ht="15">
      <c r="A2278" t="str">
        <f>"ZD70B49920"</f>
        <v>ZD70B49920</v>
      </c>
      <c r="B2278" t="str">
        <f t="shared" si="80"/>
        <v>02406911202</v>
      </c>
      <c r="C2278" t="s">
        <v>13</v>
      </c>
      <c r="D2278" t="s">
        <v>930</v>
      </c>
      <c r="E2278" t="s">
        <v>1725</v>
      </c>
      <c r="F2278" t="s">
        <v>796</v>
      </c>
      <c r="G2278" t="str">
        <f>"03478680980"</f>
        <v>03478680980</v>
      </c>
      <c r="I2278" t="s">
        <v>1726</v>
      </c>
      <c r="L2278" t="s">
        <v>41</v>
      </c>
      <c r="M2278">
        <v>1144.8</v>
      </c>
      <c r="AG2278">
        <v>1144.8</v>
      </c>
      <c r="AH2278" s="1">
        <v>41514</v>
      </c>
      <c r="AI2278" s="1">
        <v>41524</v>
      </c>
      <c r="AJ2278" s="1">
        <v>41514</v>
      </c>
    </row>
    <row r="2279" spans="1:36" ht="15">
      <c r="A2279" t="str">
        <f>"ZD9064850B"</f>
        <v>ZD9064850B</v>
      </c>
      <c r="B2279" t="str">
        <f t="shared" si="80"/>
        <v>02406911202</v>
      </c>
      <c r="C2279" t="s">
        <v>13</v>
      </c>
      <c r="D2279" t="s">
        <v>930</v>
      </c>
      <c r="E2279" t="s">
        <v>1727</v>
      </c>
      <c r="F2279" t="s">
        <v>796</v>
      </c>
      <c r="G2279" t="str">
        <f>"01703181204"</f>
        <v>01703181204</v>
      </c>
      <c r="I2279" t="s">
        <v>1546</v>
      </c>
      <c r="L2279" t="s">
        <v>41</v>
      </c>
      <c r="M2279">
        <v>5000</v>
      </c>
      <c r="AG2279">
        <v>4828.43</v>
      </c>
      <c r="AH2279" s="1">
        <v>41290</v>
      </c>
      <c r="AI2279" s="1">
        <v>41459</v>
      </c>
      <c r="AJ2279" s="1">
        <v>41290</v>
      </c>
    </row>
    <row r="2280" spans="1:36" ht="15">
      <c r="A2280" t="str">
        <f>"ZD90D5074B"</f>
        <v>ZD90D5074B</v>
      </c>
      <c r="B2280" t="str">
        <f t="shared" si="80"/>
        <v>02406911202</v>
      </c>
      <c r="C2280" t="s">
        <v>13</v>
      </c>
      <c r="D2280" t="s">
        <v>930</v>
      </c>
      <c r="E2280" t="s">
        <v>1508</v>
      </c>
      <c r="F2280" t="s">
        <v>796</v>
      </c>
      <c r="G2280" t="str">
        <f>"02203721200"</f>
        <v>02203721200</v>
      </c>
      <c r="I2280" t="s">
        <v>1728</v>
      </c>
      <c r="L2280" t="s">
        <v>41</v>
      </c>
      <c r="M2280">
        <v>80</v>
      </c>
      <c r="AG2280">
        <v>80</v>
      </c>
      <c r="AH2280" s="1">
        <v>41639</v>
      </c>
      <c r="AI2280" s="1">
        <v>41649</v>
      </c>
      <c r="AJ2280" s="1">
        <v>41639</v>
      </c>
    </row>
    <row r="2281" spans="1:36" ht="15">
      <c r="A2281" t="str">
        <f>"ZDB0405427"</f>
        <v>ZDB0405427</v>
      </c>
      <c r="B2281" t="str">
        <f t="shared" si="80"/>
        <v>02406911202</v>
      </c>
      <c r="C2281" t="s">
        <v>13</v>
      </c>
      <c r="D2281" t="s">
        <v>930</v>
      </c>
      <c r="E2281" t="s">
        <v>1631</v>
      </c>
      <c r="F2281" t="s">
        <v>796</v>
      </c>
      <c r="G2281" t="str">
        <f>"07240580154"</f>
        <v>07240580154</v>
      </c>
      <c r="I2281" t="s">
        <v>1517</v>
      </c>
      <c r="L2281" t="s">
        <v>41</v>
      </c>
      <c r="M2281">
        <v>5000</v>
      </c>
      <c r="AG2281">
        <v>4504.5</v>
      </c>
      <c r="AH2281" s="1">
        <v>41327</v>
      </c>
      <c r="AI2281" s="1">
        <v>41467</v>
      </c>
      <c r="AJ2281" s="1">
        <v>41327</v>
      </c>
    </row>
    <row r="2282" spans="1:36" ht="15">
      <c r="A2282" t="str">
        <f>"ZDC09EFFA6"</f>
        <v>ZDC09EFFA6</v>
      </c>
      <c r="B2282" t="str">
        <f t="shared" si="80"/>
        <v>02406911202</v>
      </c>
      <c r="C2282" t="s">
        <v>13</v>
      </c>
      <c r="D2282" t="s">
        <v>930</v>
      </c>
      <c r="E2282" t="s">
        <v>1729</v>
      </c>
      <c r="F2282" t="s">
        <v>796</v>
      </c>
      <c r="G2282" t="str">
        <f>"01306980408"</f>
        <v>01306980408</v>
      </c>
      <c r="I2282" t="s">
        <v>1730</v>
      </c>
      <c r="L2282" t="s">
        <v>41</v>
      </c>
      <c r="M2282">
        <v>121.56</v>
      </c>
      <c r="AG2282">
        <v>121.56</v>
      </c>
      <c r="AH2282" s="1">
        <v>41410</v>
      </c>
      <c r="AI2282" s="1">
        <v>41420</v>
      </c>
      <c r="AJ2282" s="1">
        <v>41410</v>
      </c>
    </row>
    <row r="2283" spans="1:36" ht="15">
      <c r="A2283" t="str">
        <f>"ZDD005B0BC"</f>
        <v>ZDD005B0BC</v>
      </c>
      <c r="B2283" t="str">
        <f t="shared" si="80"/>
        <v>02406911202</v>
      </c>
      <c r="C2283" t="s">
        <v>13</v>
      </c>
      <c r="D2283" t="s">
        <v>930</v>
      </c>
      <c r="E2283" t="s">
        <v>1507</v>
      </c>
      <c r="F2283" t="s">
        <v>796</v>
      </c>
      <c r="G2283" t="str">
        <f>"03171771201"</f>
        <v>03171771201</v>
      </c>
      <c r="I2283" t="s">
        <v>1731</v>
      </c>
      <c r="L2283" t="s">
        <v>41</v>
      </c>
      <c r="M2283">
        <v>2500</v>
      </c>
      <c r="AG2283">
        <v>713.7</v>
      </c>
      <c r="AH2283" s="1">
        <v>41353</v>
      </c>
      <c r="AI2283" s="1">
        <v>41363</v>
      </c>
      <c r="AJ2283" s="1">
        <v>41353</v>
      </c>
    </row>
    <row r="2284" spans="1:36" ht="15">
      <c r="A2284" t="str">
        <f>"ZDD005B0CB"</f>
        <v>ZDD005B0CB</v>
      </c>
      <c r="B2284" t="str">
        <f t="shared" si="80"/>
        <v>02406911202</v>
      </c>
      <c r="C2284" t="s">
        <v>13</v>
      </c>
      <c r="D2284" t="s">
        <v>930</v>
      </c>
      <c r="E2284" t="s">
        <v>1508</v>
      </c>
      <c r="F2284" t="s">
        <v>796</v>
      </c>
      <c r="G2284" t="str">
        <f>"03171771201"</f>
        <v>03171771201</v>
      </c>
      <c r="I2284" t="s">
        <v>1731</v>
      </c>
      <c r="L2284" t="s">
        <v>41</v>
      </c>
      <c r="M2284">
        <v>750</v>
      </c>
      <c r="AG2284">
        <v>750</v>
      </c>
      <c r="AH2284" s="1">
        <v>41353</v>
      </c>
      <c r="AI2284" s="1">
        <v>41363</v>
      </c>
      <c r="AJ2284" s="1">
        <v>41353</v>
      </c>
    </row>
    <row r="2285" spans="1:36" ht="15">
      <c r="A2285" t="str">
        <f>"ZDF0226DBB"</f>
        <v>ZDF0226DBB</v>
      </c>
      <c r="B2285" t="str">
        <f t="shared" si="80"/>
        <v>02406911202</v>
      </c>
      <c r="C2285" t="s">
        <v>13</v>
      </c>
      <c r="D2285" t="s">
        <v>930</v>
      </c>
      <c r="E2285" t="s">
        <v>1507</v>
      </c>
      <c r="F2285" t="s">
        <v>796</v>
      </c>
      <c r="G2285" t="str">
        <f>"01035300100"</f>
        <v>01035300100</v>
      </c>
      <c r="I2285" t="s">
        <v>407</v>
      </c>
      <c r="L2285" t="s">
        <v>41</v>
      </c>
      <c r="M2285">
        <v>170</v>
      </c>
      <c r="AG2285">
        <v>170</v>
      </c>
      <c r="AH2285" s="1">
        <v>41361</v>
      </c>
      <c r="AI2285" s="1">
        <v>41371</v>
      </c>
      <c r="AJ2285" s="1">
        <v>41361</v>
      </c>
    </row>
    <row r="2286" spans="1:36" ht="15">
      <c r="A2286" t="str">
        <f>"ZDF0475973"</f>
        <v>ZDF0475973</v>
      </c>
      <c r="B2286" t="str">
        <f t="shared" si="80"/>
        <v>02406911202</v>
      </c>
      <c r="C2286" t="s">
        <v>13</v>
      </c>
      <c r="D2286" t="s">
        <v>930</v>
      </c>
      <c r="E2286" t="s">
        <v>1732</v>
      </c>
      <c r="F2286" t="s">
        <v>796</v>
      </c>
      <c r="G2286" t="str">
        <f>"01835220482"</f>
        <v>01835220482</v>
      </c>
      <c r="I2286" t="s">
        <v>964</v>
      </c>
      <c r="L2286" t="s">
        <v>41</v>
      </c>
      <c r="M2286">
        <v>12000</v>
      </c>
      <c r="AG2286">
        <v>9650.04</v>
      </c>
      <c r="AH2286" s="1">
        <v>41285</v>
      </c>
      <c r="AI2286" s="1">
        <v>41560</v>
      </c>
      <c r="AJ2286" s="1">
        <v>41285</v>
      </c>
    </row>
    <row r="2287" spans="1:36" ht="15">
      <c r="A2287" t="str">
        <f>"ZDF0845283"</f>
        <v>ZDF0845283</v>
      </c>
      <c r="B2287" t="str">
        <f t="shared" si="80"/>
        <v>02406911202</v>
      </c>
      <c r="C2287" t="s">
        <v>13</v>
      </c>
      <c r="D2287" t="s">
        <v>930</v>
      </c>
      <c r="E2287" t="s">
        <v>1733</v>
      </c>
      <c r="F2287" t="s">
        <v>796</v>
      </c>
      <c r="G2287" t="str">
        <f>"01630000287"</f>
        <v>01630000287</v>
      </c>
      <c r="I2287" t="s">
        <v>1551</v>
      </c>
      <c r="L2287" t="s">
        <v>41</v>
      </c>
      <c r="M2287">
        <v>20212</v>
      </c>
      <c r="AG2287">
        <v>20211.5</v>
      </c>
      <c r="AH2287" s="1">
        <v>41296</v>
      </c>
      <c r="AI2287" s="1">
        <v>41572</v>
      </c>
      <c r="AJ2287" s="1">
        <v>41296</v>
      </c>
    </row>
    <row r="2288" spans="1:36" ht="15">
      <c r="A2288" t="str">
        <f>"ZE1042B4AE"</f>
        <v>ZE1042B4AE</v>
      </c>
      <c r="B2288" t="str">
        <f t="shared" si="80"/>
        <v>02406911202</v>
      </c>
      <c r="C2288" t="s">
        <v>13</v>
      </c>
      <c r="D2288" t="s">
        <v>930</v>
      </c>
      <c r="E2288" t="s">
        <v>1734</v>
      </c>
      <c r="F2288" t="s">
        <v>796</v>
      </c>
      <c r="G2288" t="str">
        <f>"05233560969"</f>
        <v>05233560969</v>
      </c>
      <c r="I2288" t="s">
        <v>949</v>
      </c>
      <c r="L2288" t="s">
        <v>41</v>
      </c>
      <c r="M2288">
        <v>2000</v>
      </c>
      <c r="AG2288">
        <v>1656</v>
      </c>
      <c r="AH2288" s="1">
        <v>41313</v>
      </c>
      <c r="AI2288" s="1">
        <v>41546</v>
      </c>
      <c r="AJ2288" s="1">
        <v>41313</v>
      </c>
    </row>
    <row r="2289" spans="1:36" ht="15">
      <c r="A2289" t="str">
        <f>"ZE109B927F"</f>
        <v>ZE109B927F</v>
      </c>
      <c r="B2289" t="str">
        <f t="shared" si="80"/>
        <v>02406911202</v>
      </c>
      <c r="C2289" t="s">
        <v>13</v>
      </c>
      <c r="D2289" t="s">
        <v>930</v>
      </c>
      <c r="E2289" t="s">
        <v>1735</v>
      </c>
      <c r="F2289" t="s">
        <v>796</v>
      </c>
      <c r="G2289" t="str">
        <f>"02375741200"</f>
        <v>02375741200</v>
      </c>
      <c r="I2289" t="s">
        <v>1736</v>
      </c>
      <c r="L2289" t="s">
        <v>41</v>
      </c>
      <c r="M2289">
        <v>3161.19</v>
      </c>
      <c r="AG2289">
        <v>3161.19</v>
      </c>
      <c r="AH2289" s="1">
        <v>41397</v>
      </c>
      <c r="AI2289" s="1">
        <v>41407</v>
      </c>
      <c r="AJ2289" s="1">
        <v>41397</v>
      </c>
    </row>
    <row r="2290" spans="1:36" ht="15">
      <c r="A2290" t="str">
        <f>"ZE4040549E"</f>
        <v>ZE4040549E</v>
      </c>
      <c r="B2290" t="str">
        <f t="shared" si="80"/>
        <v>02406911202</v>
      </c>
      <c r="C2290" t="s">
        <v>13</v>
      </c>
      <c r="D2290" t="s">
        <v>930</v>
      </c>
      <c r="E2290" t="s">
        <v>1537</v>
      </c>
      <c r="F2290" t="s">
        <v>796</v>
      </c>
      <c r="G2290" t="str">
        <f>"01063120222"</f>
        <v>01063120222</v>
      </c>
      <c r="I2290" t="s">
        <v>288</v>
      </c>
      <c r="L2290" t="s">
        <v>41</v>
      </c>
      <c r="M2290">
        <v>1000</v>
      </c>
      <c r="AG2290">
        <v>355.36</v>
      </c>
      <c r="AH2290" s="1">
        <v>41355</v>
      </c>
      <c r="AI2290" s="1">
        <v>41484</v>
      </c>
      <c r="AJ2290" s="1">
        <v>41355</v>
      </c>
    </row>
    <row r="2291" spans="1:36" ht="15">
      <c r="A2291" t="str">
        <f>"ZE405C80F2"</f>
        <v>ZE405C80F2</v>
      </c>
      <c r="B2291" t="str">
        <f t="shared" si="80"/>
        <v>02406911202</v>
      </c>
      <c r="C2291" t="s">
        <v>13</v>
      </c>
      <c r="D2291" t="s">
        <v>930</v>
      </c>
      <c r="E2291" t="s">
        <v>1737</v>
      </c>
      <c r="F2291" t="s">
        <v>796</v>
      </c>
      <c r="G2291" t="str">
        <f>"01970571202"</f>
        <v>01970571202</v>
      </c>
      <c r="I2291" t="s">
        <v>1443</v>
      </c>
      <c r="L2291" t="s">
        <v>41</v>
      </c>
      <c r="M2291">
        <v>3000</v>
      </c>
      <c r="AG2291">
        <v>3209.7</v>
      </c>
      <c r="AH2291" s="1">
        <v>41298</v>
      </c>
      <c r="AI2291" s="1">
        <v>41428</v>
      </c>
      <c r="AJ2291" s="1">
        <v>41298</v>
      </c>
    </row>
    <row r="2292" spans="1:36" ht="15">
      <c r="A2292" t="str">
        <f>"ZE40658FC1"</f>
        <v>ZE40658FC1</v>
      </c>
      <c r="B2292" t="str">
        <f t="shared" si="80"/>
        <v>02406911202</v>
      </c>
      <c r="C2292" t="s">
        <v>13</v>
      </c>
      <c r="D2292" t="s">
        <v>930</v>
      </c>
      <c r="E2292" t="s">
        <v>1738</v>
      </c>
      <c r="F2292" t="s">
        <v>796</v>
      </c>
      <c r="G2292" t="str">
        <f>"13278160158"</f>
        <v>13278160158</v>
      </c>
      <c r="I2292" t="s">
        <v>967</v>
      </c>
      <c r="L2292" t="s">
        <v>41</v>
      </c>
      <c r="M2292">
        <v>3000</v>
      </c>
      <c r="AG2292">
        <v>3000</v>
      </c>
      <c r="AH2292" s="1">
        <v>41285</v>
      </c>
      <c r="AI2292" s="1">
        <v>41565</v>
      </c>
      <c r="AJ2292" s="1">
        <v>41285</v>
      </c>
    </row>
    <row r="2293" spans="1:36" ht="15">
      <c r="A2293" t="str">
        <f>"ZEB0993A34"</f>
        <v>ZEB0993A34</v>
      </c>
      <c r="B2293" t="str">
        <f t="shared" si="80"/>
        <v>02406911202</v>
      </c>
      <c r="C2293" t="s">
        <v>13</v>
      </c>
      <c r="D2293" t="s">
        <v>930</v>
      </c>
      <c r="E2293" t="s">
        <v>1692</v>
      </c>
      <c r="F2293" t="s">
        <v>796</v>
      </c>
      <c r="G2293" t="str">
        <f>"03597020373"</f>
        <v>03597020373</v>
      </c>
      <c r="I2293" t="s">
        <v>100</v>
      </c>
      <c r="L2293" t="s">
        <v>41</v>
      </c>
      <c r="M2293">
        <v>19941</v>
      </c>
      <c r="AG2293">
        <v>19940</v>
      </c>
      <c r="AH2293" s="1">
        <v>41383</v>
      </c>
      <c r="AI2293" s="1">
        <v>41627</v>
      </c>
      <c r="AJ2293" s="1">
        <v>41383</v>
      </c>
    </row>
    <row r="2294" spans="1:36" ht="15">
      <c r="A2294" t="str">
        <f>"ZEC05F20C3"</f>
        <v>ZEC05F20C3</v>
      </c>
      <c r="B2294" t="str">
        <f t="shared" si="80"/>
        <v>02406911202</v>
      </c>
      <c r="C2294" t="s">
        <v>13</v>
      </c>
      <c r="D2294" t="s">
        <v>930</v>
      </c>
      <c r="E2294" t="s">
        <v>1739</v>
      </c>
      <c r="F2294" t="s">
        <v>796</v>
      </c>
      <c r="G2294" t="str">
        <f>"01179420359"</f>
        <v>01179420359</v>
      </c>
      <c r="I2294" t="s">
        <v>1740</v>
      </c>
      <c r="L2294" t="s">
        <v>41</v>
      </c>
      <c r="M2294">
        <v>10000</v>
      </c>
      <c r="AG2294">
        <v>2660</v>
      </c>
      <c r="AH2294" s="1">
        <v>41291</v>
      </c>
      <c r="AI2294" s="1">
        <v>41301</v>
      </c>
      <c r="AJ2294" s="1">
        <v>41291</v>
      </c>
    </row>
    <row r="2295" spans="1:36" ht="15">
      <c r="A2295" t="str">
        <f>"ZEC081CCF2"</f>
        <v>ZEC081CCF2</v>
      </c>
      <c r="B2295" t="str">
        <f t="shared" si="80"/>
        <v>02406911202</v>
      </c>
      <c r="C2295" t="s">
        <v>13</v>
      </c>
      <c r="D2295" t="s">
        <v>930</v>
      </c>
      <c r="E2295" t="s">
        <v>1741</v>
      </c>
      <c r="F2295" t="s">
        <v>796</v>
      </c>
      <c r="G2295" t="str">
        <f>"01957491200"</f>
        <v>01957491200</v>
      </c>
      <c r="I2295" t="s">
        <v>1509</v>
      </c>
      <c r="L2295" t="s">
        <v>41</v>
      </c>
      <c r="M2295">
        <v>1997</v>
      </c>
      <c r="AG2295">
        <v>1997</v>
      </c>
      <c r="AH2295" s="1">
        <v>41288</v>
      </c>
      <c r="AI2295" s="1">
        <v>41446</v>
      </c>
      <c r="AJ2295" s="1">
        <v>41288</v>
      </c>
    </row>
    <row r="2296" spans="1:36" ht="15">
      <c r="A2296" t="str">
        <f>"ZEC0C2DE21"</f>
        <v>ZEC0C2DE21</v>
      </c>
      <c r="B2296" t="str">
        <f t="shared" si="80"/>
        <v>02406911202</v>
      </c>
      <c r="C2296" t="s">
        <v>13</v>
      </c>
      <c r="D2296" t="s">
        <v>930</v>
      </c>
      <c r="E2296" t="s">
        <v>1521</v>
      </c>
      <c r="F2296" t="s">
        <v>796</v>
      </c>
      <c r="G2296" t="str">
        <f>"04130500376"</f>
        <v>04130500376</v>
      </c>
      <c r="I2296" t="s">
        <v>945</v>
      </c>
      <c r="L2296" t="s">
        <v>41</v>
      </c>
      <c r="M2296">
        <v>50</v>
      </c>
      <c r="AG2296">
        <v>1825.62</v>
      </c>
      <c r="AH2296" s="1">
        <v>41590</v>
      </c>
      <c r="AI2296" s="1">
        <v>41600</v>
      </c>
      <c r="AJ2296" s="1">
        <v>41590</v>
      </c>
    </row>
    <row r="2297" spans="1:36" ht="15">
      <c r="A2297" t="str">
        <f>"ZED0101A0A"</f>
        <v>ZED0101A0A</v>
      </c>
      <c r="B2297" t="str">
        <f t="shared" si="80"/>
        <v>02406911202</v>
      </c>
      <c r="C2297" t="s">
        <v>13</v>
      </c>
      <c r="D2297" t="s">
        <v>930</v>
      </c>
      <c r="E2297" t="s">
        <v>1525</v>
      </c>
      <c r="F2297" t="s">
        <v>796</v>
      </c>
      <c r="G2297" t="str">
        <f>"00589821206"</f>
        <v>00589821206</v>
      </c>
      <c r="I2297" t="s">
        <v>1742</v>
      </c>
      <c r="L2297" t="s">
        <v>41</v>
      </c>
      <c r="M2297">
        <v>5000</v>
      </c>
      <c r="AG2297">
        <v>1323.77</v>
      </c>
      <c r="AH2297" s="1">
        <v>41285</v>
      </c>
      <c r="AI2297" s="1">
        <v>41377</v>
      </c>
      <c r="AJ2297" s="1">
        <v>41285</v>
      </c>
    </row>
    <row r="2298" spans="1:36" ht="15">
      <c r="A2298" t="str">
        <f>"ZF1048AAAE"</f>
        <v>ZF1048AAAE</v>
      </c>
      <c r="B2298" t="str">
        <f t="shared" si="80"/>
        <v>02406911202</v>
      </c>
      <c r="C2298" t="s">
        <v>13</v>
      </c>
      <c r="D2298" t="s">
        <v>930</v>
      </c>
      <c r="E2298" t="s">
        <v>1743</v>
      </c>
      <c r="F2298" t="s">
        <v>796</v>
      </c>
      <c r="G2298" t="str">
        <f>"00997380191"</f>
        <v>00997380191</v>
      </c>
      <c r="I2298" t="s">
        <v>1744</v>
      </c>
      <c r="L2298" t="s">
        <v>41</v>
      </c>
      <c r="M2298">
        <v>19900</v>
      </c>
      <c r="AG2298">
        <v>18013.66</v>
      </c>
      <c r="AH2298" s="1">
        <v>41291</v>
      </c>
      <c r="AI2298" s="1">
        <v>41565</v>
      </c>
      <c r="AJ2298" s="1">
        <v>41291</v>
      </c>
    </row>
    <row r="2299" spans="1:36" ht="15">
      <c r="A2299" t="str">
        <f>"ZF109D52F6"</f>
        <v>ZF109D52F6</v>
      </c>
      <c r="B2299" t="str">
        <f t="shared" si="80"/>
        <v>02406911202</v>
      </c>
      <c r="C2299" t="s">
        <v>13</v>
      </c>
      <c r="D2299" t="s">
        <v>930</v>
      </c>
      <c r="E2299" t="s">
        <v>1745</v>
      </c>
      <c r="F2299" t="s">
        <v>796</v>
      </c>
      <c r="G2299" t="str">
        <f>"02578850360"</f>
        <v>02578850360</v>
      </c>
      <c r="I2299" t="s">
        <v>1746</v>
      </c>
      <c r="L2299" t="s">
        <v>41</v>
      </c>
      <c r="M2299">
        <v>494</v>
      </c>
      <c r="AG2299">
        <v>494</v>
      </c>
      <c r="AH2299" s="1">
        <v>41408</v>
      </c>
      <c r="AI2299" s="1">
        <v>41418</v>
      </c>
      <c r="AJ2299" s="1">
        <v>41408</v>
      </c>
    </row>
    <row r="2300" spans="1:36" ht="15">
      <c r="A2300" t="str">
        <f>"ZF10B3FE5B"</f>
        <v>ZF10B3FE5B</v>
      </c>
      <c r="B2300" t="str">
        <f t="shared" si="80"/>
        <v>02406911202</v>
      </c>
      <c r="C2300" t="s">
        <v>13</v>
      </c>
      <c r="D2300" t="s">
        <v>930</v>
      </c>
      <c r="E2300" t="s">
        <v>1747</v>
      </c>
      <c r="F2300" t="s">
        <v>796</v>
      </c>
      <c r="G2300" t="str">
        <f>"02422300968"</f>
        <v>02422300968</v>
      </c>
      <c r="I2300" t="s">
        <v>1748</v>
      </c>
      <c r="L2300" t="s">
        <v>41</v>
      </c>
      <c r="M2300">
        <v>480</v>
      </c>
      <c r="AG2300">
        <v>480</v>
      </c>
      <c r="AH2300" s="1">
        <v>41519</v>
      </c>
      <c r="AI2300" s="1">
        <v>41529</v>
      </c>
      <c r="AJ2300" s="1">
        <v>41519</v>
      </c>
    </row>
    <row r="2301" spans="1:36" ht="15">
      <c r="A2301" t="str">
        <f>"ZF303B5C17"</f>
        <v>ZF303B5C17</v>
      </c>
      <c r="B2301" t="str">
        <f t="shared" si="80"/>
        <v>02406911202</v>
      </c>
      <c r="C2301" t="s">
        <v>13</v>
      </c>
      <c r="D2301" t="s">
        <v>930</v>
      </c>
      <c r="E2301" t="s">
        <v>1749</v>
      </c>
      <c r="F2301" t="s">
        <v>796</v>
      </c>
      <c r="G2301" t="str">
        <f>"09933630155"</f>
        <v>09933630155</v>
      </c>
      <c r="I2301" t="s">
        <v>409</v>
      </c>
      <c r="L2301" t="s">
        <v>41</v>
      </c>
      <c r="M2301">
        <v>15000</v>
      </c>
      <c r="AG2301">
        <v>14004.23</v>
      </c>
      <c r="AH2301" s="1">
        <v>41290</v>
      </c>
      <c r="AI2301" s="1">
        <v>41519</v>
      </c>
      <c r="AJ2301" s="1">
        <v>41290</v>
      </c>
    </row>
    <row r="2302" spans="1:36" ht="15">
      <c r="A2302" t="str">
        <f>"ZF308BBF26"</f>
        <v>ZF308BBF26</v>
      </c>
      <c r="B2302" t="str">
        <f t="shared" si="80"/>
        <v>02406911202</v>
      </c>
      <c r="C2302" t="s">
        <v>13</v>
      </c>
      <c r="D2302" t="s">
        <v>930</v>
      </c>
      <c r="E2302" t="s">
        <v>1507</v>
      </c>
      <c r="F2302" t="s">
        <v>796</v>
      </c>
      <c r="G2302" t="str">
        <f>"09363911000"</f>
        <v>09363911000</v>
      </c>
      <c r="I2302" t="s">
        <v>1750</v>
      </c>
      <c r="L2302" t="s">
        <v>41</v>
      </c>
      <c r="M2302">
        <v>954</v>
      </c>
      <c r="AG2302">
        <v>954</v>
      </c>
      <c r="AH2302" s="1">
        <v>41325</v>
      </c>
      <c r="AI2302" s="1">
        <v>41595</v>
      </c>
      <c r="AJ2302" s="1">
        <v>41325</v>
      </c>
    </row>
    <row r="2303" spans="1:36" ht="15">
      <c r="A2303" t="str">
        <f>"ZFA05769F3"</f>
        <v>ZFA05769F3</v>
      </c>
      <c r="B2303" t="str">
        <f t="shared" si="80"/>
        <v>02406911202</v>
      </c>
      <c r="C2303" t="s">
        <v>13</v>
      </c>
      <c r="D2303" t="s">
        <v>930</v>
      </c>
      <c r="E2303" t="s">
        <v>1507</v>
      </c>
      <c r="F2303" t="s">
        <v>796</v>
      </c>
      <c r="G2303" t="str">
        <f>"01228210371"</f>
        <v>01228210371</v>
      </c>
      <c r="I2303" t="s">
        <v>102</v>
      </c>
      <c r="L2303" t="s">
        <v>41</v>
      </c>
      <c r="M2303">
        <v>19900</v>
      </c>
      <c r="AG2303">
        <v>14771.11</v>
      </c>
      <c r="AH2303" s="1">
        <v>41290</v>
      </c>
      <c r="AI2303" s="1">
        <v>41300</v>
      </c>
      <c r="AJ2303" s="1">
        <v>41290</v>
      </c>
    </row>
    <row r="2304" spans="1:36" ht="15">
      <c r="A2304" t="str">
        <f>"ZFA0C4FB33"</f>
        <v>ZFA0C4FB33</v>
      </c>
      <c r="B2304" t="str">
        <f t="shared" si="80"/>
        <v>02406911202</v>
      </c>
      <c r="C2304" t="s">
        <v>13</v>
      </c>
      <c r="D2304" t="s">
        <v>930</v>
      </c>
      <c r="E2304" t="s">
        <v>1751</v>
      </c>
      <c r="F2304" t="s">
        <v>796</v>
      </c>
      <c r="G2304" t="str">
        <f>"01122350380"</f>
        <v>01122350380</v>
      </c>
      <c r="I2304" t="s">
        <v>163</v>
      </c>
      <c r="L2304" t="s">
        <v>41</v>
      </c>
      <c r="M2304">
        <v>14129.6</v>
      </c>
      <c r="AG2304">
        <v>14129.6</v>
      </c>
      <c r="AH2304" s="1">
        <v>41590</v>
      </c>
      <c r="AI2304" s="1">
        <v>41600</v>
      </c>
      <c r="AJ2304" s="1">
        <v>41590</v>
      </c>
    </row>
    <row r="2305" spans="1:36" ht="15">
      <c r="A2305" t="str">
        <f>"ZODO89E752"</f>
        <v>ZODO89E752</v>
      </c>
      <c r="B2305" t="str">
        <f t="shared" si="80"/>
        <v>02406911202</v>
      </c>
      <c r="C2305" t="s">
        <v>13</v>
      </c>
      <c r="D2305" t="s">
        <v>930</v>
      </c>
      <c r="E2305" t="s">
        <v>1611</v>
      </c>
      <c r="F2305" t="s">
        <v>796</v>
      </c>
      <c r="G2305" t="str">
        <f>"03671510968"</f>
        <v>03671510968</v>
      </c>
      <c r="I2305" t="s">
        <v>1633</v>
      </c>
      <c r="L2305" t="s">
        <v>41</v>
      </c>
      <c r="M2305">
        <v>900</v>
      </c>
      <c r="AG2305">
        <v>900</v>
      </c>
      <c r="AH2305" s="1">
        <v>41367</v>
      </c>
      <c r="AI2305" s="1">
        <v>41377</v>
      </c>
      <c r="AJ2305" s="1">
        <v>41367</v>
      </c>
    </row>
    <row r="2306" spans="1:36" ht="15">
      <c r="A2306" t="str">
        <f aca="true" t="shared" si="81" ref="A2306:A2329">"0000000000"</f>
        <v>0000000000</v>
      </c>
      <c r="B2306" t="str">
        <f aca="true" t="shared" si="82" ref="B2306:B2331">"02406911202"</f>
        <v>02406911202</v>
      </c>
      <c r="C2306" t="s">
        <v>13</v>
      </c>
      <c r="D2306" t="s">
        <v>37</v>
      </c>
      <c r="E2306" t="s">
        <v>1752</v>
      </c>
      <c r="F2306" t="s">
        <v>1753</v>
      </c>
      <c r="G2306" t="str">
        <f>"04313250377"</f>
        <v>04313250377</v>
      </c>
      <c r="I2306" t="s">
        <v>1754</v>
      </c>
      <c r="L2306" t="s">
        <v>41</v>
      </c>
      <c r="M2306">
        <v>957960</v>
      </c>
      <c r="AG2306">
        <v>0</v>
      </c>
      <c r="AH2306" s="1">
        <v>41275</v>
      </c>
      <c r="AI2306" s="1">
        <v>42369</v>
      </c>
      <c r="AJ2306" s="1">
        <v>41638</v>
      </c>
    </row>
    <row r="2307" spans="1:36" ht="15">
      <c r="A2307" t="str">
        <f t="shared" si="81"/>
        <v>0000000000</v>
      </c>
      <c r="B2307" t="str">
        <f t="shared" si="82"/>
        <v>02406911202</v>
      </c>
      <c r="C2307" t="s">
        <v>13</v>
      </c>
      <c r="D2307" t="s">
        <v>37</v>
      </c>
      <c r="E2307" t="s">
        <v>1755</v>
      </c>
      <c r="F2307" t="s">
        <v>1753</v>
      </c>
      <c r="G2307" t="str">
        <f>"04313250377"</f>
        <v>04313250377</v>
      </c>
      <c r="I2307" t="s">
        <v>1754</v>
      </c>
      <c r="L2307" t="s">
        <v>41</v>
      </c>
      <c r="M2307">
        <v>169000</v>
      </c>
      <c r="AG2307">
        <v>0</v>
      </c>
      <c r="AH2307" s="1">
        <v>41275</v>
      </c>
      <c r="AI2307" s="1">
        <v>41639</v>
      </c>
      <c r="AJ2307" s="1">
        <v>41638</v>
      </c>
    </row>
    <row r="2308" spans="1:36" ht="15">
      <c r="A2308" t="str">
        <f t="shared" si="81"/>
        <v>0000000000</v>
      </c>
      <c r="B2308" t="str">
        <f t="shared" si="82"/>
        <v>02406911202</v>
      </c>
      <c r="C2308" t="s">
        <v>13</v>
      </c>
      <c r="D2308" t="s">
        <v>37</v>
      </c>
      <c r="E2308" t="s">
        <v>1756</v>
      </c>
      <c r="F2308" t="s">
        <v>1753</v>
      </c>
      <c r="G2308" t="str">
        <f>"04313250377"</f>
        <v>04313250377</v>
      </c>
      <c r="I2308" t="s">
        <v>1754</v>
      </c>
      <c r="L2308" t="s">
        <v>41</v>
      </c>
      <c r="M2308">
        <v>619835</v>
      </c>
      <c r="AG2308">
        <v>0</v>
      </c>
      <c r="AH2308" s="1">
        <v>41426</v>
      </c>
      <c r="AI2308" s="1">
        <v>42155</v>
      </c>
      <c r="AJ2308" s="1">
        <v>41638</v>
      </c>
    </row>
    <row r="2309" spans="1:36" ht="15">
      <c r="A2309" t="str">
        <f t="shared" si="81"/>
        <v>0000000000</v>
      </c>
      <c r="B2309" t="str">
        <f t="shared" si="82"/>
        <v>02406911202</v>
      </c>
      <c r="C2309" t="s">
        <v>13</v>
      </c>
      <c r="D2309" t="s">
        <v>37</v>
      </c>
      <c r="E2309" t="s">
        <v>1757</v>
      </c>
      <c r="F2309" t="s">
        <v>1753</v>
      </c>
      <c r="G2309" t="str">
        <f>"04313250377"</f>
        <v>04313250377</v>
      </c>
      <c r="I2309" t="s">
        <v>1754</v>
      </c>
      <c r="L2309" t="s">
        <v>41</v>
      </c>
      <c r="M2309">
        <v>281922</v>
      </c>
      <c r="AG2309">
        <v>0</v>
      </c>
      <c r="AH2309" s="1">
        <v>41275</v>
      </c>
      <c r="AI2309" s="1">
        <v>41639</v>
      </c>
      <c r="AJ2309" s="1">
        <v>41638</v>
      </c>
    </row>
    <row r="2310" spans="1:36" ht="15">
      <c r="A2310" t="str">
        <f t="shared" si="81"/>
        <v>0000000000</v>
      </c>
      <c r="B2310" t="str">
        <f t="shared" si="82"/>
        <v>02406911202</v>
      </c>
      <c r="C2310" t="s">
        <v>13</v>
      </c>
      <c r="D2310" t="s">
        <v>37</v>
      </c>
      <c r="E2310" t="s">
        <v>1758</v>
      </c>
      <c r="F2310" t="s">
        <v>1753</v>
      </c>
      <c r="G2310" t="str">
        <f>"04313250377"</f>
        <v>04313250377</v>
      </c>
      <c r="I2310" t="s">
        <v>1754</v>
      </c>
      <c r="L2310" t="s">
        <v>41</v>
      </c>
      <c r="M2310">
        <v>147980</v>
      </c>
      <c r="AG2310">
        <v>0</v>
      </c>
      <c r="AH2310" s="1">
        <v>41591</v>
      </c>
      <c r="AI2310" s="1">
        <v>41639</v>
      </c>
      <c r="AJ2310" s="1">
        <v>41638</v>
      </c>
    </row>
    <row r="2311" spans="1:36" ht="15">
      <c r="A2311" t="str">
        <f t="shared" si="81"/>
        <v>0000000000</v>
      </c>
      <c r="B2311" t="str">
        <f t="shared" si="82"/>
        <v>02406911202</v>
      </c>
      <c r="C2311" t="s">
        <v>13</v>
      </c>
      <c r="D2311" t="s">
        <v>37</v>
      </c>
      <c r="E2311" t="s">
        <v>778</v>
      </c>
      <c r="F2311" t="s">
        <v>86</v>
      </c>
      <c r="G2311" t="str">
        <f>"01114601006"</f>
        <v>01114601006</v>
      </c>
      <c r="I2311" t="s">
        <v>1759</v>
      </c>
      <c r="L2311" t="s">
        <v>41</v>
      </c>
      <c r="M2311">
        <v>8476</v>
      </c>
      <c r="AG2311">
        <v>5688</v>
      </c>
      <c r="AH2311" s="1">
        <v>41324</v>
      </c>
      <c r="AI2311" s="1">
        <v>41334</v>
      </c>
      <c r="AJ2311" s="1">
        <v>41638</v>
      </c>
    </row>
    <row r="2312" spans="1:36" ht="15">
      <c r="A2312" t="str">
        <f t="shared" si="81"/>
        <v>0000000000</v>
      </c>
      <c r="B2312" t="str">
        <f t="shared" si="82"/>
        <v>02406911202</v>
      </c>
      <c r="C2312" t="s">
        <v>13</v>
      </c>
      <c r="D2312" t="s">
        <v>975</v>
      </c>
      <c r="E2312" t="s">
        <v>1760</v>
      </c>
      <c r="F2312" t="s">
        <v>796</v>
      </c>
      <c r="G2312" t="str">
        <f>"08082461008"</f>
        <v>08082461008</v>
      </c>
      <c r="I2312" t="s">
        <v>132</v>
      </c>
      <c r="L2312" t="s">
        <v>41</v>
      </c>
      <c r="M2312">
        <v>509.52</v>
      </c>
      <c r="AG2312">
        <v>0</v>
      </c>
      <c r="AH2312" s="1">
        <v>41278</v>
      </c>
      <c r="AI2312" s="1">
        <v>41288</v>
      </c>
      <c r="AJ2312" s="1">
        <v>41278</v>
      </c>
    </row>
    <row r="2313" spans="1:36" ht="15">
      <c r="A2313" t="str">
        <f t="shared" si="81"/>
        <v>0000000000</v>
      </c>
      <c r="B2313" t="str">
        <f t="shared" si="82"/>
        <v>02406911202</v>
      </c>
      <c r="C2313" t="s">
        <v>13</v>
      </c>
      <c r="D2313" t="s">
        <v>975</v>
      </c>
      <c r="E2313" t="s">
        <v>1761</v>
      </c>
      <c r="F2313" t="s">
        <v>796</v>
      </c>
      <c r="G2313" t="str">
        <f>"02553300373"</f>
        <v>02553300373</v>
      </c>
      <c r="I2313" t="s">
        <v>1762</v>
      </c>
      <c r="L2313" t="s">
        <v>41</v>
      </c>
      <c r="M2313">
        <v>5565.69</v>
      </c>
      <c r="AG2313">
        <v>0</v>
      </c>
      <c r="AH2313" s="1">
        <v>41289</v>
      </c>
      <c r="AI2313" s="1">
        <v>41641</v>
      </c>
      <c r="AJ2313" s="1">
        <v>41289</v>
      </c>
    </row>
    <row r="2314" spans="1:36" ht="15">
      <c r="A2314" t="str">
        <f t="shared" si="81"/>
        <v>0000000000</v>
      </c>
      <c r="B2314" t="str">
        <f t="shared" si="82"/>
        <v>02406911202</v>
      </c>
      <c r="C2314" t="s">
        <v>13</v>
      </c>
      <c r="D2314" t="s">
        <v>975</v>
      </c>
      <c r="E2314" t="s">
        <v>1763</v>
      </c>
      <c r="F2314" t="s">
        <v>796</v>
      </c>
      <c r="G2314" t="str">
        <f>"02553300373"</f>
        <v>02553300373</v>
      </c>
      <c r="I2314" t="s">
        <v>1762</v>
      </c>
      <c r="L2314" t="s">
        <v>41</v>
      </c>
      <c r="M2314">
        <v>1832.72</v>
      </c>
      <c r="AG2314">
        <v>0</v>
      </c>
      <c r="AH2314" s="1">
        <v>41289</v>
      </c>
      <c r="AI2314" s="1">
        <v>41641</v>
      </c>
      <c r="AJ2314" s="1">
        <v>41289</v>
      </c>
    </row>
    <row r="2315" spans="1:36" ht="15">
      <c r="A2315" t="str">
        <f t="shared" si="81"/>
        <v>0000000000</v>
      </c>
      <c r="B2315" t="str">
        <f t="shared" si="82"/>
        <v>02406911202</v>
      </c>
      <c r="C2315" t="s">
        <v>13</v>
      </c>
      <c r="D2315" t="s">
        <v>975</v>
      </c>
      <c r="E2315" t="s">
        <v>1764</v>
      </c>
      <c r="F2315" t="s">
        <v>796</v>
      </c>
      <c r="M2315">
        <v>70.2</v>
      </c>
      <c r="AG2315">
        <v>0</v>
      </c>
      <c r="AH2315" s="1">
        <v>41275</v>
      </c>
      <c r="AI2315" s="1">
        <v>41285</v>
      </c>
      <c r="AJ2315" s="1">
        <v>41275</v>
      </c>
    </row>
    <row r="2316" spans="1:36" ht="15">
      <c r="A2316" t="str">
        <f t="shared" si="81"/>
        <v>0000000000</v>
      </c>
      <c r="B2316" t="str">
        <f t="shared" si="82"/>
        <v>02406911202</v>
      </c>
      <c r="C2316" t="s">
        <v>13</v>
      </c>
      <c r="D2316" t="s">
        <v>1145</v>
      </c>
      <c r="E2316" t="s">
        <v>1148</v>
      </c>
      <c r="F2316" t="s">
        <v>796</v>
      </c>
      <c r="G2316" t="str">
        <f>"01131710376"</f>
        <v>01131710376</v>
      </c>
      <c r="I2316" t="s">
        <v>1765</v>
      </c>
      <c r="L2316" t="s">
        <v>41</v>
      </c>
      <c r="M2316">
        <v>550</v>
      </c>
      <c r="AG2316">
        <v>0</v>
      </c>
      <c r="AH2316" s="1">
        <v>41325</v>
      </c>
      <c r="AI2316" s="1">
        <v>41335</v>
      </c>
      <c r="AJ2316" s="1">
        <v>41325</v>
      </c>
    </row>
    <row r="2317" spans="1:36" ht="15">
      <c r="A2317" t="str">
        <f t="shared" si="81"/>
        <v>0000000000</v>
      </c>
      <c r="B2317" t="str">
        <f t="shared" si="82"/>
        <v>02406911202</v>
      </c>
      <c r="C2317" t="s">
        <v>13</v>
      </c>
      <c r="D2317" t="s">
        <v>1145</v>
      </c>
      <c r="E2317" t="s">
        <v>1766</v>
      </c>
      <c r="F2317" t="s">
        <v>796</v>
      </c>
      <c r="G2317" t="str">
        <f>"02538910379"</f>
        <v>02538910379</v>
      </c>
      <c r="I2317" t="s">
        <v>1767</v>
      </c>
      <c r="L2317" t="s">
        <v>41</v>
      </c>
      <c r="M2317">
        <v>1239.18</v>
      </c>
      <c r="AG2317">
        <v>0</v>
      </c>
      <c r="AH2317" s="1">
        <v>41436</v>
      </c>
      <c r="AI2317" s="1">
        <v>41649</v>
      </c>
      <c r="AJ2317" s="1">
        <v>41436</v>
      </c>
    </row>
    <row r="2318" spans="1:36" ht="15">
      <c r="A2318" t="str">
        <f t="shared" si="81"/>
        <v>0000000000</v>
      </c>
      <c r="B2318" t="str">
        <f t="shared" si="82"/>
        <v>02406911202</v>
      </c>
      <c r="C2318" t="s">
        <v>13</v>
      </c>
      <c r="D2318" t="s">
        <v>1145</v>
      </c>
      <c r="E2318" t="s">
        <v>1768</v>
      </c>
      <c r="F2318" t="s">
        <v>796</v>
      </c>
      <c r="G2318" t="str">
        <f>"02553300373"</f>
        <v>02553300373</v>
      </c>
      <c r="I2318" t="s">
        <v>1762</v>
      </c>
      <c r="L2318" t="s">
        <v>41</v>
      </c>
      <c r="M2318">
        <v>2763.34</v>
      </c>
      <c r="AG2318">
        <v>0</v>
      </c>
      <c r="AH2318" s="1">
        <v>41582</v>
      </c>
      <c r="AI2318" s="1">
        <v>41601</v>
      </c>
      <c r="AJ2318" s="1">
        <v>41582</v>
      </c>
    </row>
    <row r="2319" spans="1:36" ht="15">
      <c r="A2319" t="str">
        <f t="shared" si="81"/>
        <v>0000000000</v>
      </c>
      <c r="B2319" t="str">
        <f t="shared" si="82"/>
        <v>02406911202</v>
      </c>
      <c r="C2319" t="s">
        <v>13</v>
      </c>
      <c r="D2319" t="s">
        <v>1145</v>
      </c>
      <c r="E2319" t="s">
        <v>1186</v>
      </c>
      <c r="F2319" t="s">
        <v>796</v>
      </c>
      <c r="G2319" t="str">
        <f>"04313250377"</f>
        <v>04313250377</v>
      </c>
      <c r="I2319" t="s">
        <v>1754</v>
      </c>
      <c r="L2319" t="s">
        <v>41</v>
      </c>
      <c r="M2319">
        <v>7118</v>
      </c>
      <c r="AG2319">
        <v>0</v>
      </c>
      <c r="AH2319" s="1">
        <v>41305</v>
      </c>
      <c r="AI2319" s="1">
        <v>41649</v>
      </c>
      <c r="AJ2319" s="1">
        <v>41305</v>
      </c>
    </row>
    <row r="2320" spans="1:36" ht="15">
      <c r="A2320" t="str">
        <f t="shared" si="81"/>
        <v>0000000000</v>
      </c>
      <c r="B2320" t="str">
        <f t="shared" si="82"/>
        <v>02406911202</v>
      </c>
      <c r="C2320" t="s">
        <v>13</v>
      </c>
      <c r="D2320" t="s">
        <v>1145</v>
      </c>
      <c r="E2320" t="s">
        <v>1769</v>
      </c>
      <c r="F2320" t="s">
        <v>796</v>
      </c>
      <c r="G2320" t="str">
        <f>"04313250377"</f>
        <v>04313250377</v>
      </c>
      <c r="I2320" t="s">
        <v>1754</v>
      </c>
      <c r="L2320" t="s">
        <v>41</v>
      </c>
      <c r="M2320">
        <v>900</v>
      </c>
      <c r="AG2320">
        <v>0</v>
      </c>
      <c r="AH2320" s="1">
        <v>41425</v>
      </c>
      <c r="AI2320" s="1">
        <v>41435</v>
      </c>
      <c r="AJ2320" s="1">
        <v>41425</v>
      </c>
    </row>
    <row r="2321" spans="1:36" ht="15">
      <c r="A2321" t="str">
        <f t="shared" si="81"/>
        <v>0000000000</v>
      </c>
      <c r="B2321" t="str">
        <f t="shared" si="82"/>
        <v>02406911202</v>
      </c>
      <c r="C2321" t="s">
        <v>13</v>
      </c>
      <c r="D2321" t="s">
        <v>794</v>
      </c>
      <c r="E2321" t="s">
        <v>1292</v>
      </c>
      <c r="F2321" t="s">
        <v>796</v>
      </c>
      <c r="G2321" t="str">
        <f>"00427050232"</f>
        <v>00427050232</v>
      </c>
      <c r="I2321" t="s">
        <v>1770</v>
      </c>
      <c r="L2321" t="s">
        <v>41</v>
      </c>
      <c r="M2321">
        <v>300</v>
      </c>
      <c r="AG2321">
        <v>0</v>
      </c>
      <c r="AH2321" s="1">
        <v>41275</v>
      </c>
      <c r="AI2321" s="1">
        <v>41639</v>
      </c>
      <c r="AJ2321" s="1">
        <v>41275</v>
      </c>
    </row>
    <row r="2322" spans="1:36" ht="15">
      <c r="A2322" t="str">
        <f t="shared" si="81"/>
        <v>0000000000</v>
      </c>
      <c r="B2322" t="str">
        <f t="shared" si="82"/>
        <v>02406911202</v>
      </c>
      <c r="C2322" t="s">
        <v>13</v>
      </c>
      <c r="D2322" t="s">
        <v>794</v>
      </c>
      <c r="E2322" t="s">
        <v>1284</v>
      </c>
      <c r="F2322" t="s">
        <v>796</v>
      </c>
      <c r="G2322" t="str">
        <f>"00810381202"</f>
        <v>00810381202</v>
      </c>
      <c r="I2322" t="s">
        <v>1771</v>
      </c>
      <c r="L2322" t="s">
        <v>41</v>
      </c>
      <c r="M2322">
        <v>1360</v>
      </c>
      <c r="AG2322">
        <v>0</v>
      </c>
      <c r="AH2322" s="1">
        <v>41275</v>
      </c>
      <c r="AI2322" s="1">
        <v>41639</v>
      </c>
      <c r="AJ2322" s="1">
        <v>41275</v>
      </c>
    </row>
    <row r="2323" spans="1:36" ht="15">
      <c r="A2323" t="str">
        <f t="shared" si="81"/>
        <v>0000000000</v>
      </c>
      <c r="B2323" t="str">
        <f t="shared" si="82"/>
        <v>02406911202</v>
      </c>
      <c r="C2323" t="s">
        <v>13</v>
      </c>
      <c r="D2323" t="s">
        <v>1365</v>
      </c>
      <c r="E2323" t="s">
        <v>1772</v>
      </c>
      <c r="F2323" t="s">
        <v>796</v>
      </c>
      <c r="M2323">
        <v>2621.9</v>
      </c>
      <c r="AG2323">
        <v>0</v>
      </c>
      <c r="AH2323" s="1">
        <v>41276</v>
      </c>
      <c r="AI2323" s="1">
        <v>41641</v>
      </c>
      <c r="AJ2323" s="1">
        <v>41276</v>
      </c>
    </row>
    <row r="2324" spans="1:36" ht="15">
      <c r="A2324" t="str">
        <f t="shared" si="81"/>
        <v>0000000000</v>
      </c>
      <c r="B2324" t="str">
        <f t="shared" si="82"/>
        <v>02406911202</v>
      </c>
      <c r="C2324" t="s">
        <v>13</v>
      </c>
      <c r="D2324" t="s">
        <v>1365</v>
      </c>
      <c r="E2324" t="s">
        <v>1374</v>
      </c>
      <c r="F2324" t="s">
        <v>796</v>
      </c>
      <c r="G2324" t="str">
        <f>"01746511201"</f>
        <v>01746511201</v>
      </c>
      <c r="I2324" t="s">
        <v>1423</v>
      </c>
      <c r="L2324" t="s">
        <v>41</v>
      </c>
      <c r="M2324">
        <v>390</v>
      </c>
      <c r="AG2324">
        <v>0</v>
      </c>
      <c r="AH2324" s="1">
        <v>41275</v>
      </c>
      <c r="AI2324" s="1">
        <v>41285</v>
      </c>
      <c r="AJ2324" s="1">
        <v>41275</v>
      </c>
    </row>
    <row r="2325" spans="1:36" ht="15">
      <c r="A2325" t="str">
        <f t="shared" si="81"/>
        <v>0000000000</v>
      </c>
      <c r="B2325" t="str">
        <f t="shared" si="82"/>
        <v>02406911202</v>
      </c>
      <c r="C2325" t="s">
        <v>13</v>
      </c>
      <c r="D2325" t="s">
        <v>930</v>
      </c>
      <c r="E2325" t="s">
        <v>1773</v>
      </c>
      <c r="F2325" t="s">
        <v>796</v>
      </c>
      <c r="G2325" t="str">
        <f>"00503431207"</f>
        <v>00503431207</v>
      </c>
      <c r="I2325" t="s">
        <v>1774</v>
      </c>
      <c r="L2325" t="s">
        <v>41</v>
      </c>
      <c r="M2325">
        <v>5239.35</v>
      </c>
      <c r="AG2325">
        <v>0</v>
      </c>
      <c r="AH2325" s="1">
        <v>41275</v>
      </c>
      <c r="AI2325" s="1">
        <v>41639</v>
      </c>
      <c r="AJ2325" s="1">
        <v>41275</v>
      </c>
    </row>
    <row r="2326" spans="1:36" ht="15">
      <c r="A2326" t="str">
        <f t="shared" si="81"/>
        <v>0000000000</v>
      </c>
      <c r="B2326" t="str">
        <f t="shared" si="82"/>
        <v>02406911202</v>
      </c>
      <c r="C2326" t="s">
        <v>13</v>
      </c>
      <c r="D2326" t="s">
        <v>930</v>
      </c>
      <c r="E2326" t="s">
        <v>1573</v>
      </c>
      <c r="F2326" t="s">
        <v>796</v>
      </c>
      <c r="G2326" t="str">
        <f>"04215270374"</f>
        <v>04215270374</v>
      </c>
      <c r="I2326" t="s">
        <v>1775</v>
      </c>
      <c r="L2326" t="s">
        <v>41</v>
      </c>
      <c r="M2326">
        <v>69.83</v>
      </c>
      <c r="AG2326">
        <v>0</v>
      </c>
      <c r="AH2326" s="1">
        <v>41277</v>
      </c>
      <c r="AI2326" s="1">
        <v>41627</v>
      </c>
      <c r="AJ2326" s="1">
        <v>41277</v>
      </c>
    </row>
    <row r="2327" spans="1:36" ht="15">
      <c r="A2327" t="str">
        <f t="shared" si="81"/>
        <v>0000000000</v>
      </c>
      <c r="B2327" t="str">
        <f t="shared" si="82"/>
        <v>02406911202</v>
      </c>
      <c r="C2327" t="s">
        <v>13</v>
      </c>
      <c r="D2327" t="s">
        <v>930</v>
      </c>
      <c r="E2327" t="s">
        <v>1511</v>
      </c>
      <c r="F2327" t="s">
        <v>796</v>
      </c>
      <c r="G2327" t="str">
        <f>"01889280127"</f>
        <v>01889280127</v>
      </c>
      <c r="I2327" t="s">
        <v>1776</v>
      </c>
      <c r="L2327" t="s">
        <v>41</v>
      </c>
      <c r="M2327">
        <v>1696.6</v>
      </c>
      <c r="AG2327">
        <v>0</v>
      </c>
      <c r="AH2327" s="1">
        <v>41275</v>
      </c>
      <c r="AI2327" s="1">
        <v>41639</v>
      </c>
      <c r="AJ2327" s="1">
        <v>41275</v>
      </c>
    </row>
    <row r="2328" spans="1:36" ht="15">
      <c r="A2328" t="str">
        <f t="shared" si="81"/>
        <v>0000000000</v>
      </c>
      <c r="B2328" t="str">
        <f t="shared" si="82"/>
        <v>02406911202</v>
      </c>
      <c r="C2328" t="s">
        <v>13</v>
      </c>
      <c r="D2328" t="s">
        <v>930</v>
      </c>
      <c r="E2328" t="s">
        <v>1590</v>
      </c>
      <c r="F2328" t="s">
        <v>796</v>
      </c>
      <c r="G2328" t="str">
        <f>"02698391204"</f>
        <v>02698391204</v>
      </c>
      <c r="I2328" t="s">
        <v>1777</v>
      </c>
      <c r="L2328" t="s">
        <v>41</v>
      </c>
      <c r="M2328">
        <v>500</v>
      </c>
      <c r="AG2328">
        <v>0</v>
      </c>
      <c r="AH2328" s="1">
        <v>41278</v>
      </c>
      <c r="AI2328" s="1">
        <v>41288</v>
      </c>
      <c r="AJ2328" s="1">
        <v>41278</v>
      </c>
    </row>
    <row r="2329" spans="1:36" ht="15">
      <c r="A2329" t="str">
        <f t="shared" si="81"/>
        <v>0000000000</v>
      </c>
      <c r="B2329" t="str">
        <f t="shared" si="82"/>
        <v>02406911202</v>
      </c>
      <c r="C2329" t="s">
        <v>13</v>
      </c>
      <c r="D2329" t="s">
        <v>930</v>
      </c>
      <c r="E2329" t="s">
        <v>1510</v>
      </c>
      <c r="F2329" t="s">
        <v>796</v>
      </c>
      <c r="G2329" t="str">
        <f>"11954900152"</f>
        <v>11954900152</v>
      </c>
      <c r="I2329" t="s">
        <v>1419</v>
      </c>
      <c r="L2329" t="s">
        <v>41</v>
      </c>
      <c r="M2329">
        <v>133.44</v>
      </c>
      <c r="AG2329">
        <v>0</v>
      </c>
      <c r="AH2329" s="1">
        <v>41275</v>
      </c>
      <c r="AI2329" s="1">
        <v>41639</v>
      </c>
      <c r="AJ2329" s="1">
        <v>41275</v>
      </c>
    </row>
    <row r="2330" spans="1:36" ht="15">
      <c r="A2330" t="str">
        <f>"XC411CCE7B"</f>
        <v>XC411CCE7B</v>
      </c>
      <c r="B2330" t="str">
        <f t="shared" si="82"/>
        <v>02406911202</v>
      </c>
      <c r="C2330" t="s">
        <v>13</v>
      </c>
      <c r="D2330" t="s">
        <v>37</v>
      </c>
      <c r="E2330" t="s">
        <v>537</v>
      </c>
      <c r="F2330" t="s">
        <v>86</v>
      </c>
      <c r="G2330" t="str">
        <f>"01057060384"</f>
        <v>01057060384</v>
      </c>
      <c r="I2330" t="s">
        <v>492</v>
      </c>
      <c r="L2330" t="s">
        <v>41</v>
      </c>
      <c r="M2330">
        <v>10000</v>
      </c>
      <c r="AG2330">
        <v>5280</v>
      </c>
      <c r="AH2330" s="1">
        <v>42032</v>
      </c>
      <c r="AI2330" s="1">
        <v>42674</v>
      </c>
      <c r="AJ2330" s="1">
        <v>41638</v>
      </c>
    </row>
    <row r="2331" spans="1:36" ht="15">
      <c r="A2331" t="str">
        <f>"X7B11CCE6A"</f>
        <v>X7B11CCE6A</v>
      </c>
      <c r="B2331" t="str">
        <f t="shared" si="82"/>
        <v>02406911202</v>
      </c>
      <c r="C2331" t="s">
        <v>13</v>
      </c>
      <c r="D2331" t="s">
        <v>37</v>
      </c>
      <c r="E2331" t="s">
        <v>537</v>
      </c>
      <c r="F2331" t="s">
        <v>86</v>
      </c>
      <c r="G2331" t="str">
        <f>"07578980968"</f>
        <v>07578980968</v>
      </c>
      <c r="I2331" t="s">
        <v>1778</v>
      </c>
      <c r="L2331" t="s">
        <v>41</v>
      </c>
      <c r="M2331">
        <v>20000</v>
      </c>
      <c r="AG2331">
        <v>3392.56</v>
      </c>
      <c r="AH2331" s="1">
        <v>42058</v>
      </c>
      <c r="AI2331" s="1">
        <v>42674</v>
      </c>
      <c r="AJ2331" s="1">
        <v>41638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Debeleac</dc:creator>
  <cp:keywords/>
  <dc:description/>
  <cp:lastModifiedBy>Andrei Debeleac</cp:lastModifiedBy>
  <dcterms:created xsi:type="dcterms:W3CDTF">2020-02-05T14:12:34Z</dcterms:created>
  <dcterms:modified xsi:type="dcterms:W3CDTF">2020-02-05T14:12:34Z</dcterms:modified>
  <cp:category/>
  <cp:version/>
  <cp:contentType/>
  <cp:contentStatus/>
</cp:coreProperties>
</file>