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<sst xmlns="http://schemas.openxmlformats.org/spreadsheetml/2006/main" count="7282" uniqueCount="1233">
  <si>
    <t>CIG</t>
  </si>
  <si>
    <t>Codice fiscale struttura proponente</t>
  </si>
  <si>
    <t>Denominazione struttura proponente</t>
  </si>
  <si>
    <t>Gruppo</t>
  </si>
  <si>
    <t>Descrizione lotto</t>
  </si>
  <si>
    <t>Tipologia di gara</t>
  </si>
  <si>
    <t>Partecipante (codice fiscale)</t>
  </si>
  <si>
    <t>Partecipante (identificativo estero)</t>
  </si>
  <si>
    <t>Partecipante (ragione sociale)</t>
  </si>
  <si>
    <t>RTI di appartenenza</t>
  </si>
  <si>
    <t>Tipo membro RTI</t>
  </si>
  <si>
    <t>Aggiudicatario (SI/NO)</t>
  </si>
  <si>
    <t>Importo aggiudicato</t>
  </si>
  <si>
    <t>Azienda USL di Bologna</t>
  </si>
  <si>
    <t>Azienda Ospedaliera Univ. di Bologna</t>
  </si>
  <si>
    <t>Istituto Ortopedico Rizzoli</t>
  </si>
  <si>
    <t>Azienda USL di Imola</t>
  </si>
  <si>
    <t>Azienda USL di Ferrara</t>
  </si>
  <si>
    <t>Azienda Ospedaliera Univ. di Ferrara</t>
  </si>
  <si>
    <t>Azienda USL della Romagna</t>
  </si>
  <si>
    <t>ASP SENECA</t>
  </si>
  <si>
    <t>ASC INSIEME</t>
  </si>
  <si>
    <t>AVEN</t>
  </si>
  <si>
    <t>Azienda Montecatone</t>
  </si>
  <si>
    <t>Azienda USL di Parma</t>
  </si>
  <si>
    <t>Importo versato</t>
  </si>
  <si>
    <t>Data inizio fornitura</t>
  </si>
  <si>
    <t>Data fine fornitura</t>
  </si>
  <si>
    <t>Data indizione lotto</t>
  </si>
  <si>
    <t>Note</t>
  </si>
  <si>
    <t>SAM - CENTRALE UNICA</t>
  </si>
  <si>
    <t>Acquisizione servizi di manutenzione ordinaria e straordinaria del software Polaris per le esigenze dell'Istituto Ortopedico Rizzoli di Bologna</t>
  </si>
  <si>
    <t>04-PROCEDURA NEGOZIATA SENZA PREVIA PUBBLICAZIONE DEL BANDO</t>
  </si>
  <si>
    <t>EL.CO SRL</t>
  </si>
  <si>
    <t>SI</t>
  </si>
  <si>
    <t>26/05/2016</t>
  </si>
  <si>
    <t>Affidamento anche per l'anno 2017 come previsto PN 177-2015 - Determinazione nr. 111 del 16.01.2017</t>
  </si>
  <si>
    <t>Service trattamenti dialitici per pazienti affetti da insufficienza renale cronica tecnica HDF MIXED</t>
  </si>
  <si>
    <t>FRESENIUS Medical Care Italia S.p.A.</t>
  </si>
  <si>
    <t>01/05/2016</t>
  </si>
  <si>
    <t>30/04/2019</t>
  </si>
  <si>
    <t>01/01/2016</t>
  </si>
  <si>
    <t>Esito PN 25/2016 fornitura triennale di sensori per attività cerebrale dedicati da usarsi su apparecchi di proprietà - Esigenze AUSL Bologna</t>
  </si>
  <si>
    <t>Covidien Italia</t>
  </si>
  <si>
    <t>10/02/2016</t>
  </si>
  <si>
    <t>rinnovo servizi di manutenzione AUSL IMOLA</t>
  </si>
  <si>
    <t>22-PROCEDURA NEGOZIATA DERIVANTE DA AVVISI CON CUI SI INDICE LA GARA</t>
  </si>
  <si>
    <t>CME società cooperativa consortile</t>
  </si>
  <si>
    <t>10/03/2016</t>
  </si>
  <si>
    <t>AOUBO:rinnovo biennale per fornitura dicoperture sterili per apparecchiature elettromedicali</t>
  </si>
  <si>
    <t>KERNA ITALIA SRL</t>
  </si>
  <si>
    <t>06/04/2016</t>
  </si>
  <si>
    <t>aoubo rinnovo biennale per la fornitura di coperture sterili per apparecchiature elettromedicali</t>
  </si>
  <si>
    <t>Biocommerciale s.a.s.</t>
  </si>
  <si>
    <t>aoubo:rinnovo biennale per la fornitura di coperture sterili per apparecchiature elettromedicali</t>
  </si>
  <si>
    <t xml:space="preserve"> SAVIR di Longhi Sergio &amp; C SAS.</t>
  </si>
  <si>
    <t>Rinnovo affidamento in concessione del servizio di distribuzione automatica di bevande e prodotti alimentari (contratto attivo)</t>
  </si>
  <si>
    <t>D.A.EM. S.P.A.</t>
  </si>
  <si>
    <t>RTI - D.A.EM SPA - IVS italia Spa - Camst Soc.Coop arl</t>
  </si>
  <si>
    <t>02-MANDATARIA</t>
  </si>
  <si>
    <t>04/05/2016</t>
  </si>
  <si>
    <t>IVS ITALIA spa</t>
  </si>
  <si>
    <t>01-MANDANTE</t>
  </si>
  <si>
    <t>CAMST SOC.COOP A R.L.</t>
  </si>
  <si>
    <t>PROROGA DELLA FORNITURA DI ELETTROCATETERI PER FISIOLOGIA IN AVEC NELLE MORE DELLA NUOVA GARA DI INTERCENTER (DITTA BOSTON PRODOTTI EX BARD)</t>
  </si>
  <si>
    <t>BOSTON SCIENTIFIC S.P.A.</t>
  </si>
  <si>
    <t>01/04/2016</t>
  </si>
  <si>
    <t>31/03/2017</t>
  </si>
  <si>
    <t>PROROGA DELLA FORNITURA DI ELETTROCATETERI PER FISIOLOGIA IN AVEC NELLE MORE DELLA GARA DI INTERCENTER (JOHNSON &amp; JOHNSON MEDICAL)</t>
  </si>
  <si>
    <t>JOHNSON &amp; JOHNSON MEDICAL SPA</t>
  </si>
  <si>
    <t xml:space="preserve">PROROGA DELLA FORNITURA DI ELETTROCATETERI PER FISIOLOGIA IN AVEC NELLE MORE DELLA GARA DI INTERCENTER </t>
  </si>
  <si>
    <t>PROROGA DELLA FORNITURA DI ELETTROCATETERI PER FISIOLOGIA IN AVEC NELLE MORE DELLA GARA DI INTERCENTER ( MEDTRONIC)</t>
  </si>
  <si>
    <t>MEDTRONIC ITALIA SPA</t>
  </si>
  <si>
    <t>PROROGA DELLA FORNITURA DI ELETTROCATETERI PER FISIOLOGIA IN AVEC NELLE MORE DELLA GARA DI INTERCENTER ( FIAB)  )</t>
  </si>
  <si>
    <t>FIAB SPA</t>
  </si>
  <si>
    <t>PROROGA DELLA FORNITURA DI ELETTROCATETERI PER FISIOLOGIA IN AVEC NELLE MORE DELLA GARA DI INTERCENTER ( ST. JUDE )</t>
  </si>
  <si>
    <t>ST.JUDE MEDICAL ITALIA SPA</t>
  </si>
  <si>
    <t>Rinnovo biennale per la fornitura di colla sigillante Bioglue per le esigenze Ausl Bologna</t>
  </si>
  <si>
    <t>26-AFFIDAMENTO DIRETTO IN ADESIONE AD ACCORDO QUADRO/CONVENZIONE</t>
  </si>
  <si>
    <t>LEVIBIOTECH SRL</t>
  </si>
  <si>
    <t>12/05/2016</t>
  </si>
  <si>
    <t>11/05/2018</t>
  </si>
  <si>
    <t>06/05/2016</t>
  </si>
  <si>
    <t>manutenzione  FULL-RISK sulle apparecchiature di produzione/distribuzione DRAEGER (Ventilatori polmonari, apparecchi per fototerapia, incubatrici neonatali e lettini per rianimazione) Imola</t>
  </si>
  <si>
    <t>Draeger Medical Italia</t>
  </si>
  <si>
    <t>31/12/2018</t>
  </si>
  <si>
    <t>17/03/2016</t>
  </si>
  <si>
    <t>FORNITURA CONTENITORE CRIOGENICO PER AOUBO</t>
  </si>
  <si>
    <t xml:space="preserve">SOL SPA </t>
  </si>
  <si>
    <t>08/04/2016</t>
  </si>
  <si>
    <t>BIOREP S.R.L.</t>
  </si>
  <si>
    <t>NO</t>
  </si>
  <si>
    <t>SIAD Healthcare S.p.A.</t>
  </si>
  <si>
    <t>LANZONI S.r.l.</t>
  </si>
  <si>
    <t>AHSI S.P.A.</t>
  </si>
  <si>
    <t>Acquisto strisce reattive per glicemia ambito ospedaliero Lotto 4 convenzione Intercenter</t>
  </si>
  <si>
    <t>A. MENARINI DIAGNOSTICS SRL</t>
  </si>
  <si>
    <t>16/05/2016</t>
  </si>
  <si>
    <t>03/12/2016</t>
  </si>
  <si>
    <t>23/05/2016</t>
  </si>
  <si>
    <t>FORNITURA IN SERVICE SISTEMA DIAGNOSTICO PER SIEROLOGIA PER AOUBO</t>
  </si>
  <si>
    <t>DIASORIN SPA</t>
  </si>
  <si>
    <t>21/04/2016</t>
  </si>
  <si>
    <t>Roche Diagnostics SpA</t>
  </si>
  <si>
    <t>ABBOTT S.r.l.</t>
  </si>
  <si>
    <t>PFIZER SRL</t>
  </si>
  <si>
    <t>MEDITRON SRL</t>
  </si>
  <si>
    <t xml:space="preserve">Rinnovo servizio manutenzione ordinaria e assistenza specialistica sui sitemi Sir, Areas e Eliot e acquisizione di altri servizi informatici </t>
  </si>
  <si>
    <t>Engineering Ingegneria Informatica S.p.A.</t>
  </si>
  <si>
    <t>24/05/2016</t>
  </si>
  <si>
    <t xml:space="preserve">Esito Rdo nr. 1202591/2016 per l'acquisizione del rinnovo delle licenze software e dei servizi di gestione del sistema di controllo navigazione internet e del software antivirus Mcafee </t>
  </si>
  <si>
    <t>VEM SISTEMI</t>
  </si>
  <si>
    <t>BELLUCCI S.P.A.</t>
  </si>
  <si>
    <t>BUSINESS -E SPA</t>
  </si>
  <si>
    <t xml:space="preserve">DIMENSION DATA ITALIA </t>
  </si>
  <si>
    <t>IKS S.R.L.</t>
  </si>
  <si>
    <t>INFO.TEC S.R.L.</t>
  </si>
  <si>
    <t>MAGGIOLI EDITORE</t>
  </si>
  <si>
    <t>VAR GROUP SPA</t>
  </si>
  <si>
    <t>VIRTUAL LOGIC SRL</t>
  </si>
  <si>
    <t>custom pack</t>
  </si>
  <si>
    <t>CAM HOSPITAL SRL</t>
  </si>
  <si>
    <t>31/08/2017</t>
  </si>
  <si>
    <t>19/04/2016</t>
  </si>
  <si>
    <t>proroga contratto etichette termiche per stampanti - 2</t>
  </si>
  <si>
    <t>NOVAREX</t>
  </si>
  <si>
    <t>25/05/2016</t>
  </si>
  <si>
    <t>Ulteriore proroga contratto nelle more RDO in corso, determina 3481 del 15/12/2016, assunto CIG 69088145AB</t>
  </si>
  <si>
    <t>proroga contratto etichette termiche per stampanti - 3</t>
  </si>
  <si>
    <t>LABEL 2000</t>
  </si>
  <si>
    <t>Ulteriore proroga contratto nelle more RDO in corso, determina 3481 del 15/12/2016, assunto CIG 6908860B9F</t>
  </si>
  <si>
    <t>proroga contratto etichette termiche per stampanti</t>
  </si>
  <si>
    <t>CERACARTA S.P.A.</t>
  </si>
  <si>
    <t>Ulteriore proroga contratti nelle more RDO in corso, determina 3481 del 15/12/2016 CIG assunto 69087164CC</t>
  </si>
  <si>
    <t xml:space="preserve">contratto di assistenza full risk sui sistemi per la spettrometria di massa tandem, in uso presso l’AUSLBO e l’AOUBO </t>
  </si>
  <si>
    <t>AB SCIEX srl</t>
  </si>
  <si>
    <t>29/04/2016</t>
  </si>
  <si>
    <t xml:space="preserve">ACQUISTO DIRETTO  N. 48/2016  - CONTRATTO DI ASSISTENZA TECNICA DITTA ZACCANTI PER LITOTRITORE MODULITH, OTTICHE E STRUMENTARIO MARCA STORZ </t>
  </si>
  <si>
    <t>ZACCANTI S.P.A. CON SOCIO UNICO</t>
  </si>
  <si>
    <t>avec-pubblicazione dei numeri telefonici negli elenchi seat - edizione 2016-2017</t>
  </si>
  <si>
    <t>SEAT Pagine Gialle SPA</t>
  </si>
  <si>
    <t>30/05/2016</t>
  </si>
  <si>
    <t>Per le sole aziende sanitarie ausl bo, aoubo e ior, gli importi saranno fatturati da SEAT complessivamente all'AUSL BO la quale successivamente provvederà a recuperare le somme dovute dalle altre due aziende</t>
  </si>
  <si>
    <t>acquisto farmaci esclusivi nelle more gara intercent-er</t>
  </si>
  <si>
    <t>BAYER S.p.A. Divisione Farmaceutici</t>
  </si>
  <si>
    <t>20/05/2016</t>
  </si>
  <si>
    <t>acquisto farmaci esclusivi nelle more della nuova gara Intercent-er</t>
  </si>
  <si>
    <t>BOEHRINGER INGELHEIM ITALIA s.p.a.</t>
  </si>
  <si>
    <t>ACQUISTO FARMACI ESCLUSIVI NELLE MORE DELLA GARA INTERCENT-ER</t>
  </si>
  <si>
    <t>BRUNO FARMACEUTICI SPA</t>
  </si>
  <si>
    <t>ACQUISTO FARMACI ESCLUSIVI NELLE MORE NUOVA GARA INTERCENTER</t>
  </si>
  <si>
    <t>GLAXOSMITHKLINE S.P.A.</t>
  </si>
  <si>
    <t>GILEAD SCIENCES</t>
  </si>
  <si>
    <t>Janssen-cilag spa</t>
  </si>
  <si>
    <t>NOVARTIS FARMA S.p.A.</t>
  </si>
  <si>
    <t>ACQUISTO FARMACI ESCLUSIVI NELLE MORE GARA INTERCENTER</t>
  </si>
  <si>
    <t>ASTRAZENECA SPA</t>
  </si>
  <si>
    <t>10/05/2016</t>
  </si>
  <si>
    <t>NOVO NORDISK S.P.A.</t>
  </si>
  <si>
    <t>sanofi S.p.A.</t>
  </si>
  <si>
    <t>ACQUISTO SOMATROPINA - DITTA ELI LILLY</t>
  </si>
  <si>
    <t>ELI LILLY ITALIA S.p.A.</t>
  </si>
  <si>
    <t>18/05/2016</t>
  </si>
  <si>
    <t>ACQUISTO SOMATROPINA - DITTA SANDOZ</t>
  </si>
  <si>
    <t>Sandoz S.p.A.</t>
  </si>
  <si>
    <t>ACQUISTO SOMATROPINA - DITTA IPSEN</t>
  </si>
  <si>
    <t>Ipsen S.p.A.</t>
  </si>
  <si>
    <t>FORNITURA SISTEMA AUDIO/VIDEO X AOUBO</t>
  </si>
  <si>
    <t>MAQUET ITALIA S.P.A.</t>
  </si>
  <si>
    <t>17/05/2016</t>
  </si>
  <si>
    <t>PROROGA LENTI INTRAOCULARI E MATERIALE VISCOELASTICO</t>
  </si>
  <si>
    <t>AMO ITALY S.R.L.</t>
  </si>
  <si>
    <t>23/04/2016</t>
  </si>
  <si>
    <t>Azienda Usl di Imola- Adesione a convenzione Consip per l'acquisto di licenze e supporto manutentivo software microsoft</t>
  </si>
  <si>
    <t xml:space="preserve">Fujitsu Technology Solutions </t>
  </si>
  <si>
    <t>07/06/2016</t>
  </si>
  <si>
    <t>15/07/2016</t>
  </si>
  <si>
    <t>Proroga lenti intraoculari e materiale viscoelastico</t>
  </si>
  <si>
    <t>Alcon Italia S.p.A.</t>
  </si>
  <si>
    <t>BEAVER VISITEC INTERNATIONAL SALS LTD</t>
  </si>
  <si>
    <t>31/12/2016</t>
  </si>
  <si>
    <t>Dipo</t>
  </si>
  <si>
    <t>E-Med</t>
  </si>
  <si>
    <t>IMPORTO ORIGINARIO COMPLESSIVO € 52.133,33
IMPORTO ORIGINARIO AUSL BOLOGNA € 36.800,00
DETERMINAZIONE ACQUISTO OLTRE 20% PER AUSL BOLOGNA N. 3110 DEL 15/11/2016
CIG VARIANTE SUPERIORE AL 20% N. 6867839009 PER € 17.340,00</t>
  </si>
  <si>
    <t>proroga lenti intraoculari e materiale viscoelastico</t>
  </si>
  <si>
    <t>EMMECI 4 SRL</t>
  </si>
  <si>
    <t>LYNX SRL</t>
  </si>
  <si>
    <t>Servizio di manutenzione  ottiche rigide in uso presso le Aziende UU.SS.LL. di Bologna e Imola, l’Azienda Ospedaliero Universitaria di Bologna, l’Istituto Ortopedico Rizzoli</t>
  </si>
  <si>
    <t>01-PROCEDURA APERTA</t>
  </si>
  <si>
    <t>MEDITECK SRL</t>
  </si>
  <si>
    <t>24/02/2016</t>
  </si>
  <si>
    <t>Crimo Italia s.r.l.</t>
  </si>
  <si>
    <t>Adesione convenzione Consip per acquisto Pc Desktop</t>
  </si>
  <si>
    <t>Converge Spa</t>
  </si>
  <si>
    <t>09/06/2016</t>
  </si>
  <si>
    <t>Adesione convenzione consip per acfornitura e stesura fibra ottica e apparati di rete</t>
  </si>
  <si>
    <t>Telecom Italia S.p.a.</t>
  </si>
  <si>
    <t>adesione dell'ausl imola all'accordo quadro per somministrazione lavoro temporaneo</t>
  </si>
  <si>
    <t>OBIETTIVO LAVORO SPA</t>
  </si>
  <si>
    <t>08/06/2016</t>
  </si>
  <si>
    <t>RINNOVO SERVICE MONITOR EMODINAMICI A BASSA INVASIVITA'</t>
  </si>
  <si>
    <t>SEDA S.p.A.</t>
  </si>
  <si>
    <t>13/04/2016</t>
  </si>
  <si>
    <t>ADESIONE CONVENZIONE CONSIP UTOVEICOLI 8 -LOTTO 10 X AUSL IMOLA</t>
  </si>
  <si>
    <t>FCA Fleet &amp; Tenders srl</t>
  </si>
  <si>
    <t>RTI - FCA Fleet &amp; Tenders srl - Lease Plan italia srl - Vodafone Automotive Italia spa</t>
  </si>
  <si>
    <t>13/06/2016</t>
  </si>
  <si>
    <t>Lease Plan italia srl</t>
  </si>
  <si>
    <t>Vodafone Automotive Italia spa</t>
  </si>
  <si>
    <t>14/06/2016</t>
  </si>
  <si>
    <t>FORNITURA BIENNALE SISTEMA AUTOMAZIONE FASE PRE-ANALITICA</t>
  </si>
  <si>
    <t>Medical Systems S.p.A.</t>
  </si>
  <si>
    <t>sistemi osteosintesi maxillo facciale</t>
  </si>
  <si>
    <t>13/05/2016</t>
  </si>
  <si>
    <t>Sonia</t>
  </si>
  <si>
    <t>SISTEMI OSTEOSINTESI MAXILLO FACCIALE</t>
  </si>
  <si>
    <t>VERSAN &amp; DAFNE M.D. SRL</t>
  </si>
  <si>
    <t>FORNITURA MATERIALE DI CONSUMO PER SISTEMI DI CIRCOLAZIONE EXTRACORPOREI PER AOUBO</t>
  </si>
  <si>
    <t>SORIN GROUP ITALIA SRL</t>
  </si>
  <si>
    <t>15/03/2016</t>
  </si>
  <si>
    <t>Servizio di ricezione, controllo, movimentazione e trasporto di beni di magazzino economale per Ior</t>
  </si>
  <si>
    <t>C.F.P. SOC. COOP.</t>
  </si>
  <si>
    <t>26/02/2016</t>
  </si>
  <si>
    <t>CO.FA.M.O. SOC.COOP.</t>
  </si>
  <si>
    <t>CO.L.SER SERVIZI s.c.r.l.</t>
  </si>
  <si>
    <t>CONSORZIO COOPERATIVE SOCIALI QUARANTACINQUE SOCIETA' COOPERATIVA SOCIALE</t>
  </si>
  <si>
    <t>COOP. FACCHINI E SERVIZI MOLINELLA</t>
  </si>
  <si>
    <t>COOPERATIVA AUTOTRASPORTI NCV</t>
  </si>
  <si>
    <t>COOPSERVICE S. Coop. p. A.</t>
  </si>
  <si>
    <t>PLURIMA SPA</t>
  </si>
  <si>
    <t>S.A.F.A.C. SOC. COOP.</t>
  </si>
  <si>
    <t>TRA.SER. SRL</t>
  </si>
  <si>
    <t>FORNITURA DI DISPOSITIVI MEDICI E PROTESI PER ENDOSCOPIA DIGESTIVA - AORTA</t>
  </si>
  <si>
    <t>AORTA SRL</t>
  </si>
  <si>
    <t>31/05/2016</t>
  </si>
  <si>
    <t>ENDOCOPIA DIGEST - ARIES</t>
  </si>
  <si>
    <t>ARIES S.r.l.</t>
  </si>
  <si>
    <t>FORNITURA DI DISPOSITIVI MEDICI E PROTESI PER ENDOSCOPIA DIGESTIVA - ARS CHIRURGICA</t>
  </si>
  <si>
    <t>ARS CHIRURGICA SRL</t>
  </si>
  <si>
    <t>FORNITURA DI DISPOSITIVI MEDICI E PROTESI PER ENDOSCOPIA DIGESTIVA - ASE</t>
  </si>
  <si>
    <t>ASE SRL</t>
  </si>
  <si>
    <t>ENDOCOPIA DIGEST -BOSTON</t>
  </si>
  <si>
    <t>FORNITURA DI DISPOSITIVI MEDICI E PROTESI PER ENDOSCOPIA DIGESTIVA- CONMED</t>
  </si>
  <si>
    <t>CONMED ITALIA</t>
  </si>
  <si>
    <t>FORNITURA DI DISPOSITIVI MEDICI E PROTESI PER ENDOSCOPIA DIGESTIVA - COOK</t>
  </si>
  <si>
    <t>COOK ITALIA</t>
  </si>
  <si>
    <t>ENDOCOPIA DIGEST - COVIDIEN</t>
  </si>
  <si>
    <t>15/05/2016</t>
  </si>
  <si>
    <t>ENDOCOPIA DIGEST - ERBE</t>
  </si>
  <si>
    <t>ERBE ITALIA</t>
  </si>
  <si>
    <t>FORNITURA DI DISPOSITIVI MEDICI E PROTESI PER ENDOSCOPIA DIGESTIVA - MEDITALIA</t>
  </si>
  <si>
    <t>MEDITALIA SAS IMPORT EXPORT DI SALERNO MAURIZIO</t>
  </si>
  <si>
    <t>ENDOCOPIA DIGEST - MG LORENZATTO</t>
  </si>
  <si>
    <t>03-PROCEDURA NEGOZIATA PREVIA PUBBLICAZIONE DEL BANDO</t>
  </si>
  <si>
    <t>M.G. Lorenzatto S.r.l.</t>
  </si>
  <si>
    <t>ENDOCOPIA DIGEST - QUATTRO MEDICA</t>
  </si>
  <si>
    <t>MANUTENZIONE TRIENNALE ATTREZZATURE OLYMPUS PER AOUBO</t>
  </si>
  <si>
    <t>OLYMPUS ITALIA</t>
  </si>
  <si>
    <t>ENDOSCOPIA DIGEST- ARIES</t>
  </si>
  <si>
    <t>ARIES</t>
  </si>
  <si>
    <t>ENDOSCOPIA DIGEST - COVIDIEN</t>
  </si>
  <si>
    <t>Covidien Italia SPA</t>
  </si>
  <si>
    <t>ENDOCOPIA DIGEST - OLYMPUS</t>
  </si>
  <si>
    <t>QUATTRO MEDICA S.r.l.</t>
  </si>
  <si>
    <t>FORNITURA DI N. 1 ECOGRAFO VASCOLARE DI MEDIA FASCIA OCCORRENTE AGLI AMBULATORI DELLA UO CHIRURGIA VASCOLARE AOU BO</t>
  </si>
  <si>
    <t>GE MEDICAL SYSTEMS ITALIA</t>
  </si>
  <si>
    <t>FORNITURA DI N. 1 PROCESSATORE AUTOMATICO DI TESSUTI OCCORRENTE AL LABORATORIO DI ANATOMIA PATOLOGICA ED ISTOPATOLOGIA AOU BO RDO 2016</t>
  </si>
  <si>
    <t>LEICA MICROSYSTEMS SRL</t>
  </si>
  <si>
    <t>DIAPATH S.p.A.</t>
  </si>
  <si>
    <t>BIO-OPTICA MILANO SPA</t>
  </si>
  <si>
    <t>Fornitura di 1 Diagnostica Digitale diretta per lo IOR</t>
  </si>
  <si>
    <t>ING. BURGATTI S.p.A.</t>
  </si>
  <si>
    <t>08/03/2016</t>
  </si>
  <si>
    <t>BECTON DICKINSON ITALIA SPA</t>
  </si>
  <si>
    <t>FORNITURA BIENNALE IN SERVICE DI UN SISTEMA PER ABLAZIONE ESOFAGEA DI BARRETT PER AOUBO</t>
  </si>
  <si>
    <t>angela bellanova</t>
  </si>
  <si>
    <t>Farmaci esclusivi nuovi fabbisogni nelle more Intercenter</t>
  </si>
  <si>
    <t>TAKEDA ITALIA S.P.A.</t>
  </si>
  <si>
    <t>NORGINE ITALIA S.r.l.</t>
  </si>
  <si>
    <t>30/09/2016</t>
  </si>
  <si>
    <t>Vifor Pharma Italia srl</t>
  </si>
  <si>
    <t xml:space="preserve">Clinigen Group </t>
  </si>
  <si>
    <t>MSD ITALIA SRL</t>
  </si>
  <si>
    <t>Farmaco Opdivo</t>
  </si>
  <si>
    <t>Bristol-Myers Squibb Srl</t>
  </si>
  <si>
    <t>Materiale di consumo Mammotome</t>
  </si>
  <si>
    <t>DEVICOR MEDICAL ITALY SRL</t>
  </si>
  <si>
    <t>30/06/2016</t>
  </si>
  <si>
    <t>PROROGA DEL CONTRATTO RELATIVO AL SERVIZIO DI AGGIORNAMENTO TECNOLOGICO DELLE ATTREZZATURE DI FOTORIPRODUZIONE SISTEMA PER LA STAMPA DIGITALE DEL CENTRO STAMPA UNIFICATO PER LE ESIGENZE DELLE AZIENDE USL E OSPEDALIERO-UNIVERSITARIA DI BOLOGNA</t>
  </si>
  <si>
    <t>Xerox</t>
  </si>
  <si>
    <t>01/07/2016</t>
  </si>
  <si>
    <t>SISTEMI PER L'INTRODUZIONE DI CORDE TENDINEE ARTIFICIALI</t>
  </si>
  <si>
    <t>MEDICAL INSTRUMENTS</t>
  </si>
  <si>
    <t>04/07/2016</t>
  </si>
  <si>
    <t>Edwards TAVI - Bioprotesi Aortiche</t>
  </si>
  <si>
    <t>Edwards Lifesciences Italia SpA</t>
  </si>
  <si>
    <t>TAVI Bioprotesi Aortiche - GADA</t>
  </si>
  <si>
    <t>Gada Italia Srl</t>
  </si>
  <si>
    <t>Fornitura biennale per la fornitura biennale di kit per riscaldamento ed infusione rapida dei fluidi</t>
  </si>
  <si>
    <t>SMITHS MEDICAL ITALIA S.r.l.</t>
  </si>
  <si>
    <t>10/06/2016</t>
  </si>
  <si>
    <t>acquisto diretto ai sensi del dlgs.vo 50 del 18/4/2006 per fornitura biennale rinnovabile per ulteriori due anni di dispositivi medici da utilizzare con sistemi scaldafluidi</t>
  </si>
  <si>
    <t>framar hemologix</t>
  </si>
  <si>
    <t>05/05/2016</t>
  </si>
  <si>
    <t>La determinazione 1679 del 13/06/2016 è stata rettificata dalla determinazione 1738 che ha cambiato l'importo di assegnazione AOUBO.</t>
  </si>
  <si>
    <t>Rinnovo biennale della procedura negoziata 212/2014 per fornitura materiale di consumo occorrente all'u.o. di ginecologia e fisiopatologia della riproduzione</t>
  </si>
  <si>
    <t>ATS ITALIA S.R.L.</t>
  </si>
  <si>
    <t>Acquisto diretto per  fornitura biennale di dispositivi medici pe pompa centrifuga mod.terumo</t>
  </si>
  <si>
    <t>ADESIONE CONVENZIONE INTERCENT ARREDI SANITARI 2-LOTTO 1</t>
  </si>
  <si>
    <t>08/07/2016</t>
  </si>
  <si>
    <t>27/06/2016</t>
  </si>
  <si>
    <t>Adesione convenzione Intercent-Arredi Sanitari 2 Lotto 1</t>
  </si>
  <si>
    <t>Linet Italia S.r.l. unipersonale</t>
  </si>
  <si>
    <t>IL CIG E' CHIARAMENTE FASULLO. TRATTANDOSI DI ADESIONE A INTERCENT X IOR ( IL CODICE DERIVATO LO PRENDE IL RIZZOLI) NON ESSENDOCI UN CIG IN ACCORDO QUADRO PER ENTRAMBI I LOTTI DA INSERIRE ( E UN CODEICE CIG BISOGNA INSERILO SE NO NON VA AVANTI)</t>
  </si>
  <si>
    <t>Noleggio monitor</t>
  </si>
  <si>
    <t>RDO FORNITURA IN SERVICE SISTEMA ANALITICO PER MICOBATTERI X AOUBO</t>
  </si>
  <si>
    <t>bioMérieux Italia S.p.A.</t>
  </si>
  <si>
    <t>CARLO ERBA REAGENTI SPA</t>
  </si>
  <si>
    <t>SIEMENS HEALTHCARE S.R.L.</t>
  </si>
  <si>
    <t>Stipula contratti ponte Farmaci nelle more Intercenter Gilead</t>
  </si>
  <si>
    <t>16/06/2016</t>
  </si>
  <si>
    <t>Stipula contratti ponte Farmaci nelle more Intercenter Swedish</t>
  </si>
  <si>
    <t>Swedish Orphan Biovitrum Srl</t>
  </si>
  <si>
    <t>Stipula contratti ponte Farmaci nelle more Intercenter Interlabo</t>
  </si>
  <si>
    <t>INTERLABO SRL</t>
  </si>
  <si>
    <t>Stipula contratti ponte Farmaci nelle more Intercenter Basilea</t>
  </si>
  <si>
    <t>BASILEA PHARMACEUTICALS LTD</t>
  </si>
  <si>
    <t>Stipula contratti ponte Farmaci nelle more Intercenter Alfa Wassermann</t>
  </si>
  <si>
    <t>ALFA WASSERMANN S.p.A.</t>
  </si>
  <si>
    <t>contratti di manutenzione</t>
  </si>
  <si>
    <t>HILL-ROM SPA</t>
  </si>
  <si>
    <t>03/02/2016</t>
  </si>
  <si>
    <t>Fornitura Immunoglobulina Hyqvia</t>
  </si>
  <si>
    <t>BAXALTA ITALY Srl</t>
  </si>
  <si>
    <t>Fornitura farmaco Remsima</t>
  </si>
  <si>
    <t>MUNDIPHARMA PHARMACEUTICALS</t>
  </si>
  <si>
    <t>20/06/2016</t>
  </si>
  <si>
    <t>RDO FORNITURA AUTOAMBULANZE PER AUSLIMOLA</t>
  </si>
  <si>
    <t>Vision Ambulanze S.r.l.</t>
  </si>
  <si>
    <t>09/05/2016</t>
  </si>
  <si>
    <t>F,LLI LOMBATTI SPA</t>
  </si>
  <si>
    <t>Maresca &amp; Fiorentino SpA</t>
  </si>
  <si>
    <t>OLMEDO SPA</t>
  </si>
  <si>
    <t>SURACE SPA</t>
  </si>
  <si>
    <t>RDO FORNITURA AUTOMEDICA X AUSLIMOLA</t>
  </si>
  <si>
    <t>Adesione a convenzione Intercent-Er per l'acquisto di Pc desktop, dispositivi opzionali e servizi per le esigenze dell'AOSP di Bologna</t>
  </si>
  <si>
    <t>ZUCCHETTI INFORMATICA S.p.A.</t>
  </si>
  <si>
    <t>Presidi sottovuoto per il prelievo di sangue e raccolta urine</t>
  </si>
  <si>
    <t>18/07/2016</t>
  </si>
  <si>
    <t>PREANALITICA SRL</t>
  </si>
  <si>
    <t>Presidi sottovuoto per prelievo sangue venoso e raccolta urine</t>
  </si>
  <si>
    <t>VACUTEST KIMA SRL</t>
  </si>
  <si>
    <t>Acquisto Farmaco extraprontuario Pixuvri per l'Aou di Bologna e Adesione convenzione Intercenter Farmaco esclusivo Opsumit per l'Ausl di Bologna</t>
  </si>
  <si>
    <t>SERVIER ITALIA SPA</t>
  </si>
  <si>
    <t>PROVVEDIMENTI RELATIVI ALLA FORNITURA DI SONDE E TUBI PER I SERVIZI TERRITORIALI</t>
  </si>
  <si>
    <t>DENTSPLY IH S.r.l.</t>
  </si>
  <si>
    <t>HOLLISTER SPA</t>
  </si>
  <si>
    <t>TELEFLEX MEDICAL SRL</t>
  </si>
  <si>
    <t>ACCQUISTO DI RADIOFARMACI DA FORNITORI ESTERI IN ESCLUSIVA</t>
  </si>
  <si>
    <t>ABX Advanced Bioch. Comp- Germania</t>
  </si>
  <si>
    <t>ACQUISTO DI RADIOFARMACI DA FORNITORI ESTERI IN ESCLUSIVA</t>
  </si>
  <si>
    <t>CAMBRIDGE ISOTPES LABORATORIES- USA</t>
  </si>
  <si>
    <t>ISOFLEX- (California San Francisco) -USA</t>
  </si>
  <si>
    <t>ACQUISTO DI RADIOFARMACI DA FORNITORI ESTERI</t>
  </si>
  <si>
    <t>BIOCOMPATIBLES UK LTD - Recapito fiscale in Belgio</t>
  </si>
  <si>
    <t>SIRTEX Med. Eur. Gmbh- Germania</t>
  </si>
  <si>
    <t>ACQUISTO DI RIVISTE VARIE ON LINE E CARTACEE  PER AUSL BO E AOUBO PER ANNO 2016</t>
  </si>
  <si>
    <t>nal von minden GmbH</t>
  </si>
  <si>
    <t>ED. EDQM LIBRARY</t>
  </si>
  <si>
    <t>CAMERA COMMERCIO MILANO</t>
  </si>
  <si>
    <t>C.A.A.B. SCPA</t>
  </si>
  <si>
    <t>EDINFORM S.A.S.</t>
  </si>
  <si>
    <t>VDA NET SRL</t>
  </si>
  <si>
    <t>SAI GLOBAL - GB</t>
  </si>
  <si>
    <t>COMITATO ELETTRONICO ITALIANO</t>
  </si>
  <si>
    <t>SIFAP</t>
  </si>
  <si>
    <t>SIQUAS VRQ</t>
  </si>
  <si>
    <t>ED. DIRITTO SANITARIO</t>
  </si>
  <si>
    <t>CNR</t>
  </si>
  <si>
    <t>UNIVERSITA' BOLOGNA DIP.SCIENZESTATISTICHE</t>
  </si>
  <si>
    <t>SIAE BOLOGNA</t>
  </si>
  <si>
    <t>PROROGA CONVENZIONE INTERCENT-ER  "PRODOTTI PER NUTRIZIONE ENTERALE"</t>
  </si>
  <si>
    <t>NESTLE ITALIANA SPA</t>
  </si>
  <si>
    <t>NUTRICIA ITALIA S.p.A</t>
  </si>
  <si>
    <t>NUTRISENS ITALIA SRL</t>
  </si>
  <si>
    <t>Rinnovo biennale contrattualmente previsto per la fornitura di trapani e sistemi motorizzati Microchoice per le esigenze dell'Ausl di Imola e di Ferrara</t>
  </si>
  <si>
    <t>Rinnovo  del servizio di trasporto cose e persone per le esigenze dell'AUSL DI IMOLA</t>
  </si>
  <si>
    <t>BALLANDI IVANOVIC</t>
  </si>
  <si>
    <t>RTI - BALLDANDI IVANOVIC - CAMAGGI CLAUDIA</t>
  </si>
  <si>
    <t>CAMAGGI CLAUDIA</t>
  </si>
  <si>
    <t>Affidamento diretto della fornitura annuale di endoprotesi addominali e toraciche</t>
  </si>
  <si>
    <t>BOLTON MEDICAL</t>
  </si>
  <si>
    <t>Serom</t>
  </si>
  <si>
    <t>W.L. GORE &amp; ASSOCIATI</t>
  </si>
  <si>
    <t>ACQUISTO DIRETTO DI STIMOLATORI MIDOLLARI,CEREBRALI, VASCOLARI E VAGALI PER LE ESIGENZE DELL'AREA VASTA BOLOGNA/FERRARA</t>
  </si>
  <si>
    <t>Cormed Cardiovascolare S.r.l.</t>
  </si>
  <si>
    <t>ACQUISIZIONE IN PROPRIETA’  DI N.2 MODULI DI SINTESI  E CONTESTUALE AGGIORNAMENTO ULTIMA RELEASE.  DITTA GE MEDICAL SYSTEMS SPA</t>
  </si>
  <si>
    <t>Rinnovo servizio cremazione parti anatomiche</t>
  </si>
  <si>
    <t>C. I. F. s.r.l.  Consorzio Imprese Funebri</t>
  </si>
  <si>
    <t>ABBONAMENTO AI SERVIZI ANSA</t>
  </si>
  <si>
    <t>AGENZIA ANSA</t>
  </si>
  <si>
    <t>ABBONAMENTO NOTIZIARIO DIRE E DIReS</t>
  </si>
  <si>
    <t>COM.E Comunicazione &amp; Editoria SRL</t>
  </si>
  <si>
    <t>Proroga Kit per il monitoraggio pressorio artero venoso</t>
  </si>
  <si>
    <t>Proroga contratti per la fornitura di Farmaci anti-epatite C nelle more convenzioni Intercenter</t>
  </si>
  <si>
    <t>ABBVIE S.r.l.</t>
  </si>
  <si>
    <t>Janssen-Cilag</t>
  </si>
  <si>
    <t>Affidamento di un servizio di call center rivolto alle prestazioni ambulatoriali e di ricovero in LP</t>
  </si>
  <si>
    <t>08-AFFIDAMENTO IN ECONOMIA - COTTIMO FIDUCIARIO</t>
  </si>
  <si>
    <t>BT ENIA TELECOMUNICAZIONI SPA</t>
  </si>
  <si>
    <t>SDS SRL</t>
  </si>
  <si>
    <t>GPI S.p.A.</t>
  </si>
  <si>
    <t>Fornitura lame sterili Feather originali o equivalenti per le esigenze dell'Ausl di Bologna, Aou di Bologna, Ior e Ausl Imola</t>
  </si>
  <si>
    <t>Histo-Line Laboratories S.r.L.</t>
  </si>
  <si>
    <t>KALTEK SRL</t>
  </si>
  <si>
    <t>LABOINDUSTRIA S.P.A.</t>
  </si>
  <si>
    <t>LP ITALIANA SPA</t>
  </si>
  <si>
    <t>COTTIMO FIDUCIARIO N. 107/2015 PER LA FORNITURA BIENNALE DI CATETERI A PALLONCINO PER PTCA A RILASCIO DI PACLITAXEL A SINGOLO LUME</t>
  </si>
  <si>
    <t>ab medica spa</t>
  </si>
  <si>
    <t>BIOTRONIK ITALIA SPA</t>
  </si>
  <si>
    <t>INNOVA HTS srl</t>
  </si>
  <si>
    <t>Acquisto diretto Farmaci esclusivi al 30/09/2016 nelle more gara Intercenter</t>
  </si>
  <si>
    <t>Manutenzioner Celle Frigorifere e camere mortuarie AOUBO</t>
  </si>
  <si>
    <t>Fornasini Mauro srl</t>
  </si>
  <si>
    <t>Proroga servizio di aggiornamento tecnologico per attrezzature centro stampa unificato delle Aziende USL e OU di Bologna</t>
  </si>
  <si>
    <t>Proroga dei contratti per la fornitura di farmaci esclusivi nelle more delle nuove convenzioni Intercenter- Aziende Sanitarie di Bologna e Imola</t>
  </si>
  <si>
    <t>Allergan Spa</t>
  </si>
  <si>
    <t>Alexion Pharma Italy S.r.l.</t>
  </si>
  <si>
    <t>Almirall S.p.A.</t>
  </si>
  <si>
    <t>Bristol-Myers Squibb</t>
  </si>
  <si>
    <t>medac pharma Srl a socio unico</t>
  </si>
  <si>
    <t>Msd Italia</t>
  </si>
  <si>
    <t>Novartis Farma</t>
  </si>
  <si>
    <t>OTTOPHARMA S.R.L</t>
  </si>
  <si>
    <t>Pfizer Italia</t>
  </si>
  <si>
    <t>ROCHE S.p.A. - Società unipersonale</t>
  </si>
  <si>
    <t>Shire Italia</t>
  </si>
  <si>
    <t>UCB PHARMA S.P.A.</t>
  </si>
  <si>
    <t>Fornitura di n.5 monitor multiparametrici per terapia intensiva chir trapianti Aou Bo</t>
  </si>
  <si>
    <t>CONTRATTO DI MANUTENZIONE SISTEMA FISCHER MAMMO TEST X AUSL IMOLA</t>
  </si>
  <si>
    <t>Carestream Health Italia Srl</t>
  </si>
  <si>
    <t>Fornitura vaccino uso umano BOOSTRIX nelle more gara Intercent-ER</t>
  </si>
  <si>
    <t>Rinnovo fornitura di laringoscopi ottici tipo Airtraq per AUSLBO, IOR, IMOLA E AOUFE</t>
  </si>
  <si>
    <t>Rinnovo fornitura in esclusiva di stent e sistemi di protezione per il trattemento delle lesioni dell'arteria carotidea</t>
  </si>
  <si>
    <t>FORNITURA DI N. 2 SISTEMI PER VIDEOENDOSCOPIA AOU BO</t>
  </si>
  <si>
    <t>manutenzione tvoli operatori</t>
  </si>
  <si>
    <t>OPT MED s.r.l</t>
  </si>
  <si>
    <t>N.1 ECOGRAFO DI ALTA FASCIA PER UROLOGIA AOU BO (LOTTO 1)</t>
  </si>
  <si>
    <t>Toshiba Medical Systems S.r.l.</t>
  </si>
  <si>
    <t>N.1 ECOGRAFO DI ALTA FASCIA PER LA RADIOLOGIA AOU BO (LOTTO 2)</t>
  </si>
  <si>
    <t>Trasferimento 2 sistemi x Angiografia</t>
  </si>
  <si>
    <t>PHILIPS  SPA</t>
  </si>
  <si>
    <t>Manutenzione Sterilizzatrici a vapore</t>
  </si>
  <si>
    <t>VACUUM SERVICE SRL</t>
  </si>
  <si>
    <t>Acquisto farmaco esclusivo Plegridy al 30/09/2016 nelle more gara Intercenter per le esigenze AuslBo e Ausl Imola</t>
  </si>
  <si>
    <t>Biogen Italia srl</t>
  </si>
  <si>
    <t>Rinnovo fornitura sistemi di terapia a pressione negativa per trattamento lesioni cutanee complesse</t>
  </si>
  <si>
    <t>SMITH &amp; NEPHEW SRL</t>
  </si>
  <si>
    <t>Lohmann &amp; Rauscher</t>
  </si>
  <si>
    <t>Fornitura sacche multidose pluriprelievo di farmaci chemioterapici antiblastici</t>
  </si>
  <si>
    <t>BAXTER  S.p.A. - DIVISIONE MEDICATION DELIVERY - ROMA</t>
  </si>
  <si>
    <t>Rinnovo annuale fornitura "DM finalizzati al trattamento del glaucoma e delle patologie vitreoretiniche - lotto 2 (sonde e laser in service)"</t>
  </si>
  <si>
    <t>Guide coronariche Pressure Wire Aeris e relativo ricevitore</t>
  </si>
  <si>
    <t>Contratto ponte per farmaci ed emoderivati nelle more gara Intercent</t>
  </si>
  <si>
    <t>Abiogen Pharma Spa</t>
  </si>
  <si>
    <t>ACCORD HEALTHCARE ITALIA</t>
  </si>
  <si>
    <t>Aziende Chimiche Riunite Angelini Francesco</t>
  </si>
  <si>
    <t>ADIENNE SRL S.U.</t>
  </si>
  <si>
    <t>Allergan S.p.A.</t>
  </si>
  <si>
    <t>ALLOGA (ITALIA) SRL</t>
  </si>
  <si>
    <t>AMGEN SRL</t>
  </si>
  <si>
    <t>INCYTE BIOSCIENCES ITALY SRL</t>
  </si>
  <si>
    <t>Astellas Pharma</t>
  </si>
  <si>
    <t>B.BRAUN MILANO SPA</t>
  </si>
  <si>
    <t>BAXTER SPA</t>
  </si>
  <si>
    <t>BIOFUTURA PHARMA SPA</t>
  </si>
  <si>
    <t>Bioindustria L.I.M. S.p.A.</t>
  </si>
  <si>
    <t>BIOTEST ITALIA SRL</t>
  </si>
  <si>
    <t>BGP  PRODUCTS  S.r.l.</t>
  </si>
  <si>
    <t>BLUEFISH PHARMA SRL</t>
  </si>
  <si>
    <t>BRACCO IMAGING ITALIA SRL</t>
  </si>
  <si>
    <t>Celgene srl</t>
  </si>
  <si>
    <t>CHIESI FARMACEUTICI</t>
  </si>
  <si>
    <t>CLINIGEN HEALTHCARE LTD</t>
  </si>
  <si>
    <t>CODIFI</t>
  </si>
  <si>
    <t>CSL Behring S.p.A.</t>
  </si>
  <si>
    <t>DAIICHI SANKYO ITALIA</t>
  </si>
  <si>
    <t>DMS FARMACEUTICI S.P.A.</t>
  </si>
  <si>
    <t>DOC GENERICI SRL</t>
  </si>
  <si>
    <t>Dompé Farmaceutici S.p.A.</t>
  </si>
  <si>
    <t>EG S.p.A.</t>
  </si>
  <si>
    <t>EISAI srl</t>
  </si>
  <si>
    <t>EUROMED SRL</t>
  </si>
  <si>
    <t>FAR.G.IM. S.R.L.</t>
  </si>
  <si>
    <t>FERRING S.p.A.</t>
  </si>
  <si>
    <t>FIDIA FARMACEUTICI s.p.a.</t>
  </si>
  <si>
    <t>Fisiopharma</t>
  </si>
  <si>
    <t>Fresenius Kabi</t>
  </si>
  <si>
    <t>GLAXOSMITH CONSUMER (ex NOVARTIS CONSUMER HEALTH SPA)</t>
  </si>
  <si>
    <t>GLORIA MED PHARMA SRL</t>
  </si>
  <si>
    <t>GRIFOLS ITALIA S.p.A.</t>
  </si>
  <si>
    <t>Grünenthal Italia S.r.l.</t>
  </si>
  <si>
    <t>HEALTHCARE AT HOME LTD</t>
  </si>
  <si>
    <t>HIKMA ITALIA</t>
  </si>
  <si>
    <t>HOSPIRA ITALIA SRL</t>
  </si>
  <si>
    <t>IBISQUS</t>
  </si>
  <si>
    <t>Ibsa Farmaceutici Italia</t>
  </si>
  <si>
    <t>IDIS HOUSE</t>
  </si>
  <si>
    <t>Industria Farmaceutica NOVA ARGENTIA S.p.A.</t>
  </si>
  <si>
    <t>INNOVA PHARMA S.p.A.</t>
  </si>
  <si>
    <t>Italchimici</t>
  </si>
  <si>
    <t>ITALFARMACO SpA</t>
  </si>
  <si>
    <t>Junia Pharma srl</t>
  </si>
  <si>
    <t>KEDRION SPA</t>
  </si>
  <si>
    <t>KRKA Farmaceutici</t>
  </si>
  <si>
    <t>L. MOLTENI &amp; C. DEI F.LLI ALITTI SOCIETA' DI ESERCIZIO S.P.A.</t>
  </si>
  <si>
    <t>Laboratori Baldacci S.P.A.</t>
  </si>
  <si>
    <t>LAB. FARM. SIT SRL</t>
  </si>
  <si>
    <t>Leo Pharma S.p.A.</t>
  </si>
  <si>
    <t>Lombarda H S.r.l.</t>
  </si>
  <si>
    <t>LUCANE PHARMA SA</t>
  </si>
  <si>
    <t>LUNDBECK ITALIA S.P.A.</t>
  </si>
  <si>
    <t>Meda Pharma</t>
  </si>
  <si>
    <t>MEDIOLANUM FARMACEUTICI</t>
  </si>
  <si>
    <t>MERCK SERONO SpA</t>
  </si>
  <si>
    <t>MONICO S.p.A</t>
  </si>
  <si>
    <t>Mylan S.p.a.</t>
  </si>
  <si>
    <t>Neopharmed Gentili</t>
  </si>
  <si>
    <t>NOOS SRL</t>
  </si>
  <si>
    <t>Novartis Consumer Health</t>
  </si>
  <si>
    <t>OFTAGEN SURGICAL SRL</t>
  </si>
  <si>
    <t>OlcelliFarmaceutici S.r.l.</t>
  </si>
  <si>
    <t>Orion Pharma Srl</t>
  </si>
  <si>
    <t>ORPHAN EUROPE ITALY SRL</t>
  </si>
  <si>
    <t>PFIZER ITALIA SRL</t>
  </si>
  <si>
    <t>PIAM FARMACEUTICI S.P.A</t>
  </si>
  <si>
    <t>Pierre Fabre Pharma</t>
  </si>
  <si>
    <t>POLIFARMA BENESSERE SRL</t>
  </si>
  <si>
    <t>KYOWA KIRIN Srl</t>
  </si>
  <si>
    <t>Reckitt Benckiser Healthcare (Italia)</t>
  </si>
  <si>
    <t>S.A.L.F. S.P.A.</t>
  </si>
  <si>
    <t>S.I.F.I.</t>
  </si>
  <si>
    <t>SCLAVO DIAGNOSTICS INTERNATIONAL S.R.L.</t>
  </si>
  <si>
    <t>SERVIER ITALIA</t>
  </si>
  <si>
    <t>Shire Italia Spa</t>
  </si>
  <si>
    <t>SIGMA TAU INDUSTRIE FARMACEUTICHE RIUNITE SPA</t>
  </si>
  <si>
    <t>SOFAR S.P.A.</t>
  </si>
  <si>
    <t>SPA SOCIETA' PROD. ANTIBIOTICI S.P.</t>
  </si>
  <si>
    <t>SUN Pharmaceuticals Italia S.r.l.</t>
  </si>
  <si>
    <t>Teofarma s.r.l.</t>
  </si>
  <si>
    <t>TEVA ITALIA SRL</t>
  </si>
  <si>
    <t>Thea Farma</t>
  </si>
  <si>
    <t>GiEnne Pharma S.p.A.</t>
  </si>
  <si>
    <t>VALEAS SpA Industria Chimica e Farmaceutica</t>
  </si>
  <si>
    <t>ZAMBON ITALIA SRL</t>
  </si>
  <si>
    <t>Rinnovo contratto di fornitura di valvole polmonari Melody e di sistemi di inserimento Ensamble</t>
  </si>
  <si>
    <t>Affidamento alla Società Cup 2000 SpA del Servizio Rilevazione dati sui consumi farmaceutici per le Aziende Usl dell'area Vasta Emilia Centrale</t>
  </si>
  <si>
    <t>24-AFFIDAMENTO DIRETTO A SOCIETA' IN HOUSE</t>
  </si>
  <si>
    <t>CUP 2000 S.P.A.</t>
  </si>
  <si>
    <t>FORNITURA TRIENNALE IN SERVICE DI UN SISTEMA DIAGNOSTICO MUTAZIONALE PER LE ESIGENZE DELL'AOUBO</t>
  </si>
  <si>
    <t>QIAGEN S.R.L.</t>
  </si>
  <si>
    <t>Diatech Pharmacogenetics S.r.l a Socio Unico</t>
  </si>
  <si>
    <t>SIEMENS S.p.A.</t>
  </si>
  <si>
    <t>Manutenzione Apparecchiature Arjo-2016/2019 per AUSLBO-AUSL Ferrara e AUSL Imola</t>
  </si>
  <si>
    <t>ARJOHUNTLEIGH SPA</t>
  </si>
  <si>
    <t>Manutenzione Apparecchiature Arjo-2016/2018 per AOUBO</t>
  </si>
  <si>
    <t>SERVIZI DI MANUTENZIONE SU APPARECCHIATURE PHILIPS HEALTHCARE</t>
  </si>
  <si>
    <t>Proroga della fornitura di carta per apparecchiature elettromedicali originale e compatibile</t>
  </si>
  <si>
    <t>RTI – CERACARTA – PIRRONE</t>
  </si>
  <si>
    <t>PIRRONE</t>
  </si>
  <si>
    <t>Rinnovo contratto per servizio rimozione dei veicoli</t>
  </si>
  <si>
    <t>CENTRO DELL'AUTO DI GROSSI SABINO</t>
  </si>
  <si>
    <t>Proroga fornitura guanti ad uso sanitario nelle more convenzione Intercenter</t>
  </si>
  <si>
    <t>BERICA HYGIENE srl</t>
  </si>
  <si>
    <t>Chemil S.r.l.</t>
  </si>
  <si>
    <t>CLINI-LAB S.R.L.</t>
  </si>
  <si>
    <t>GARDENING S.R.L.</t>
  </si>
  <si>
    <t>nacatur international imp. exp s.r.l a s.u</t>
  </si>
  <si>
    <t>MEDLINE INTERNATIONAL ITALY SRL UNIP.</t>
  </si>
  <si>
    <t>BS Medical S.r.l.</t>
  </si>
  <si>
    <t>Fornitura di dispositivi per allattamento per mastosuttori Medela</t>
  </si>
  <si>
    <t>MEDELA ITALIA SRL</t>
  </si>
  <si>
    <t>Variante oltre il 20% CIG 6839273A9D IMPORTO DI €36.000,00</t>
  </si>
  <si>
    <t>Proroga della fornitura di "sistemi infusionali"</t>
  </si>
  <si>
    <t>CareFusion Italy 311 S.r.l.</t>
  </si>
  <si>
    <t>COVIDIEN ITALIA SPA</t>
  </si>
  <si>
    <t>Acquisto Farmaci antiallergici e immunoglobulina al 31/10/2016 nelle more Intercenter</t>
  </si>
  <si>
    <t>ALK ABELLO' S.P.A.</t>
  </si>
  <si>
    <t>STALLERGENES ITALIA SRL</t>
  </si>
  <si>
    <t>Fornitura stent bioassorbibile per Emodinamica e cardiologia</t>
  </si>
  <si>
    <t>FORNITURA DI UNA SORGENTE RADIOGENA A COMPLETAMENTO DI UN SISTEMA SKYSKAN 1172</t>
  </si>
  <si>
    <t>BRUKER ITALIA SRL UNIPERSONALE</t>
  </si>
  <si>
    <t>Servizi di manutenzione attrezz.sanit.</t>
  </si>
  <si>
    <t>Zaccanti Spa</t>
  </si>
  <si>
    <t>Pro Senectute</t>
  </si>
  <si>
    <t>Affidamento servizio di carrozzaio zona 2 agli automezzi dell' Ausl di Bologna-LOTTO 1</t>
  </si>
  <si>
    <t>PARTS &amp; SERVICES</t>
  </si>
  <si>
    <t>SETTI PNEUMATICI SRL</t>
  </si>
  <si>
    <t>PNEUSCAR SRL</t>
  </si>
  <si>
    <t>AUTOFFICINA MELONCELLI ELIO SNC DI MELONCELLI VANNI E C.</t>
  </si>
  <si>
    <t>Affidamento servizio di carrozzaio zona 3 agli automezzi dell' Ausl di Bologna - LOTTO 2</t>
  </si>
  <si>
    <t>Affidamento servizio di carrozzaio zona 4 agli automezzi dell'Ausl di Bologna-LOTTO 3</t>
  </si>
  <si>
    <t>Affidamento servizio di gommista zona 1 agli automezzi dell' Ausl di Bologna-LOTTO 4</t>
  </si>
  <si>
    <t>Affidamento servizio di gommista zona 2 agli automezzi dell' Ausl di Bologna  - LOTTO 5</t>
  </si>
  <si>
    <t>Affidamento servizio di gommista zona 5 agli automezzi dell' Ausl di Imola - LOTTO 6</t>
  </si>
  <si>
    <t>Proroga tecnica di fornitura cateteri venosi monolume tipo Medline nelle more P.A.47/2016</t>
  </si>
  <si>
    <t>SEDA SPA</t>
  </si>
  <si>
    <t>Ulteriore acquisto di stimolatori cardiaci ditta Boston Scientific SpA (lotti 1 – 2 – 5 – 11) aggiudicati con convenzione stipulata dall'Agenzia regionale Intercent-ER</t>
  </si>
  <si>
    <t>Contenitori con sonda per raccolta urine</t>
  </si>
  <si>
    <t>Biosigma S.r.l.</t>
  </si>
  <si>
    <t>AOUBO FORNITURA DI N. 50 PULSOSSIMETRI DA BANCO ,LOTT O 1</t>
  </si>
  <si>
    <t>ALEA DI DADONE SILVIO E C. S.A.S.</t>
  </si>
  <si>
    <t>SIM ITALIA S.r.l.</t>
  </si>
  <si>
    <t>I.M. MEDICAL SAS</t>
  </si>
  <si>
    <t>TECNOHEALTH SRL</t>
  </si>
  <si>
    <t>MASIMO EUROPE LTD</t>
  </si>
  <si>
    <t>AOUBO FORNITURA DI N. 50 PULSOSSIMETRI DA BANCO   N. 15 PULSOSSIMETRI PALMARI LOTTO2</t>
  </si>
  <si>
    <t>ABBONAMENTO AD ALCUNI PACCHETTI DI RIVISTE PER IOR E AOUBO</t>
  </si>
  <si>
    <t>EBSCO INFORMATION SERVICES S.R.L.</t>
  </si>
  <si>
    <t>Proroga fornitura di elettrocateteri per fisiologia melle more gara IntercentER</t>
  </si>
  <si>
    <t>Servizio di manutenzioni PER ANALIZZATORI E AMPLIFICATORI SEQUENZE NUCLEOTIDICHE</t>
  </si>
  <si>
    <t>Life Technologies Italia Fil. Life Technologies Europe B.V.</t>
  </si>
  <si>
    <t>ULTERIORE ACQUISTO DI LANCETTE PUNGIDITO, STRISCE REATTIVE E SISTEMI DIAGNOSTICI PER GLICEMIA 2 - AMBITO OSPEDALIERO AGGIUDICATI CON CONVENZIONE INTERCENT-ER Lotto 1 - Ditta ROCHE</t>
  </si>
  <si>
    <t>ROCHE DIABETES CARE ITALY SPA - SOCIETA' UNIPERSONALE -</t>
  </si>
  <si>
    <t>ULTERIORE ACQUISTO DI LANCETTE PUNGIDITO, STRISCE REATTIVE E SISTEMI DIAGNOSTICI PER GLICEMIA 2 - AMBITO OSPEDALIERO AGGIUDICATI CON CONVENZIONE INTERCENT-ER Lotto 3 - Ditta BECTON DICKINSON</t>
  </si>
  <si>
    <t>ULTERIORE ACQUISTO DI LANCETTE PUNGIDITO, STRISCE REATTIVE E SISTEMI DIAGNOSTICI PER GLICEMIA 2 - AMBITO OSPEDALIERO AGGIUDICATI CON CONVENZIONE INTERCENT-ER Lotto 5 - Ditta A.MENARINI DIAGNOSTICS</t>
  </si>
  <si>
    <t>FORNITURA DI N.5 ECOTOMOGRAFI PORTATILI</t>
  </si>
  <si>
    <t>FORNITURA DI ARTICOLI TECNICI  PER L’ATTIVITA’ PET CICLOTRONE.</t>
  </si>
  <si>
    <t>TEMA SINERGIE S.p.A.</t>
  </si>
  <si>
    <t>Radius S.r.l.</t>
  </si>
  <si>
    <t>Proroga servizio ossigenoterapia domicilaire e ausili attinenti funzione respiratoria nelle more gara IntercentER</t>
  </si>
  <si>
    <t>CER MEDICAL srl</t>
  </si>
  <si>
    <t>RTI – Cer Medical srl – Criosalento – Linde Medicale srl</t>
  </si>
  <si>
    <t>CRIO SALENTO S.R.L.</t>
  </si>
  <si>
    <t>Linde Medicale S.r.l.</t>
  </si>
  <si>
    <t>Farmaci esclusivi al 30/09/2016 nelle more gara Intercenter</t>
  </si>
  <si>
    <t>Fornitura del p.a. GLARGINE</t>
  </si>
  <si>
    <t>Servizio di manutenzioni e Convalida attrezzature Banca del Sangue e manutenzione armadi di sicurezza</t>
  </si>
  <si>
    <t>FORNITURA DI UN SISTEMA POLIFUNZIONALE PER RADIOLOGIA DIGITALE DIRETTA GMM “OPERA SWING” PER LE ESIGENZE DELLA UO DI RADIOLOGIA.</t>
  </si>
  <si>
    <t>Fornitura di test per la diagnosi in vivo di infezione gastroduodenale e servizio di lettura test</t>
  </si>
  <si>
    <t>AB ANALITICA SRL</t>
  </si>
  <si>
    <t>RICHEN CORTEX EUROP SRL</t>
  </si>
  <si>
    <t>a circle spa</t>
  </si>
  <si>
    <t>MEDICA VALEGGIA S.P.A.(CONDO DEDICATO MOD.1)</t>
  </si>
  <si>
    <t>Meditron</t>
  </si>
  <si>
    <t>contratto  di manutenzione  Attrezzature radiologia  di alta tecnologia e prodotte da Ge Healtcare in dotazione alle UU.OO. di radiologia, medicina nucleare</t>
  </si>
  <si>
    <t>ABBONAMENTI A RIVISTE VARIE E PERIODICI PER LE ESIGENZE DI AUSLBO E IOR</t>
  </si>
  <si>
    <t>GRUPPO SOLE 24 ORE</t>
  </si>
  <si>
    <t>RINNOVO BIENNALE DELLA FORNITURA DI COLLA CHIRURGICA SIGILLANTE BIOGLUE</t>
  </si>
  <si>
    <t>Fornitura di n.2 sistemi composti di processore e fonte luce per piastra endoscopica</t>
  </si>
  <si>
    <t>Esito dell'acquisto diretto (P.N. 184/2015)  relativo all'attivazione dei contratti di manutenzione e assistenza hardware e software e altri servizi informatici anno 2016 per le Aziende Usl di Bologna e Imola e l'Azienda Ospedaliero Univ. di Bologna</t>
  </si>
  <si>
    <t>Archimede S.r.l.</t>
  </si>
  <si>
    <t>Data Processing S.p.A.</t>
  </si>
  <si>
    <t>Dedalus Spa</t>
  </si>
  <si>
    <t>DELTA INFORMATICA</t>
  </si>
  <si>
    <t>EXPRIVIA HEALTHCARE IT SRL</t>
  </si>
  <si>
    <t>IASI S.R.L.</t>
  </si>
  <si>
    <t>INFO LINE</t>
  </si>
  <si>
    <t>INFOCERT S.P.A.</t>
  </si>
  <si>
    <t>MIES SRL</t>
  </si>
  <si>
    <t>NoemaLife S.P.A.</t>
  </si>
  <si>
    <t>Onit Group Srl</t>
  </si>
  <si>
    <t>SFERACARTA GPI S.R.L.</t>
  </si>
  <si>
    <t>Softime 90 S.r.l.</t>
  </si>
  <si>
    <t>SOLARI DI UDINE SPA</t>
  </si>
  <si>
    <t>SORI dp S.R.L.</t>
  </si>
  <si>
    <t>GBIM (ex Consorzio Bioingegneria Medica</t>
  </si>
  <si>
    <t>Eos Sistemi S.r.l.</t>
  </si>
  <si>
    <t>Omicron Consulting S.r.l.</t>
  </si>
  <si>
    <t>FORNITURA TRIENNALE DI N. 15 ELETTROBISTURI AOU BO</t>
  </si>
  <si>
    <t>ERBE ITALIA SRL</t>
  </si>
  <si>
    <t>PRAESIDIA SRL</t>
  </si>
  <si>
    <t>RINNOVO SERVICE SISTEMA ESTRAZIONE ACIDI NUCLEICI EPATITE B C HIV</t>
  </si>
  <si>
    <t>PROROGA FORNITURA IN SERVICE DI UN SISTEMA AUTOMATICO PER EPATITE,SIFILIDE E HIV PER AOUBO</t>
  </si>
  <si>
    <t>acquisto farmaco Lenvima</t>
  </si>
  <si>
    <t>26/07/2016</t>
  </si>
  <si>
    <t>ADESIONE ALLA CONENZIONE INTERCENT-ER "prodotti cartari, accessori per comunità e accessori per la consumazione dei pasti 3" ausl BO lotto 4</t>
  </si>
  <si>
    <t>3.M.C.</t>
  </si>
  <si>
    <t>01/04/2019</t>
  </si>
  <si>
    <t>15/06/2016</t>
  </si>
  <si>
    <t>ADESIONE A CONVENZIONE INTERCENT-ER "PRODOTTI CARTARI, ACCESSORI PER COMUNITA' E ACCESSORI PER LA CONSUMAZIONE DEI PASTI 3" per ausl bo lotto 2</t>
  </si>
  <si>
    <t>ITALCHIM SRL</t>
  </si>
  <si>
    <t>RDO PER LA FORNITURA DI N. 1 EDOGRAFO PER LA U.O. PNEUNOLOGIA INTERVENTISTICA AOUBO</t>
  </si>
  <si>
    <t>HITACHI MEDICAL SYSTEMS S.p.A.</t>
  </si>
  <si>
    <t>RINNOVO SERVICE DI MONITOR EMODINAMICI A BASSA INVASIVITA' E RELATIVO MATERIALE DI CONSUMO</t>
  </si>
  <si>
    <t>Acquisto diretto per la fornitura di telini joban per le esigenze dell'AOUBO,Ausl di Imola e Istituto Ortopedico Rizzoli</t>
  </si>
  <si>
    <t>3 Emme Italia S.p.A.</t>
  </si>
  <si>
    <t>29/06/2016</t>
  </si>
  <si>
    <t>3M Italia SRL</t>
  </si>
  <si>
    <t>Acquisto diretto per la fornitura biennale di telini chirurgici Joban per le esigenze dell'AOUBO,AUsl IMOLA e IOR</t>
  </si>
  <si>
    <t>AUSL IMOLA - PROROGA CONTRATTO DI CUI AL CF 52/2014 PER L'ACQUISIZIONE DI UN SERVIZIO DI INTERVENTI EDUCATIVI A FAVORE DI MINORI CON  PATOLOGIE NEUROSPICHIATRICHE IN ETA' EVOLUTIVA (AUTISMO) IN CARICO ALL'UOC DI NPIA</t>
  </si>
  <si>
    <t>CONSORZIO COMUNITA' SOLIDALE S.C.S.</t>
  </si>
  <si>
    <t>01/06/2016</t>
  </si>
  <si>
    <t>DET. N. 1598/2016 - PROROGA: 01/06/2016 - 30/11/2016 - IMPORTO: € 40.803,67 IVA ESCLUSA
DET. N. 3249/2016 - PROROGA: 01/12/2016 - 31/03/2017 - IMPORTO: € 28.658,80 IVA ESCLUSA
NUOVO CIG MASTER: 688182881D</t>
  </si>
  <si>
    <t>Protesi parziali d'anca totalmente cementate</t>
  </si>
  <si>
    <t>11/03/2016</t>
  </si>
  <si>
    <t>Citieffe S.r.l.</t>
  </si>
  <si>
    <t>Gruppo Bioimpianti</t>
  </si>
  <si>
    <t>LEPINE ITALIA SRL</t>
  </si>
  <si>
    <t>LIMA-LTO S.P.A.</t>
  </si>
  <si>
    <t>MicroPort Scientific S.r.l.</t>
  </si>
  <si>
    <t>PERMEDICA SPA</t>
  </si>
  <si>
    <t>S.A.M.O. ITALIA S.R.L.</t>
  </si>
  <si>
    <t xml:space="preserve">cemento osseo </t>
  </si>
  <si>
    <t>STRYKER ITALIA SRL</t>
  </si>
  <si>
    <t>27/07/2016</t>
  </si>
  <si>
    <t>RDO PER LA FORNITURA DI 2 DEFIBRILLATORI PER L'AZIENDA USL DI IMOLA</t>
  </si>
  <si>
    <t>PHYSIO-CONTROL ITALY SALES s.r.l.</t>
  </si>
  <si>
    <t>AOU BO contratto ponte farmaci esclusivi</t>
  </si>
  <si>
    <t>01/08/2016</t>
  </si>
  <si>
    <t>AOUBO CONTRATTO PONTE PER FARMACI ESCLUSIVI</t>
  </si>
  <si>
    <t>AOU BO contratto ponte per farmaci esclusivi</t>
  </si>
  <si>
    <t>sviluppo sw day service oncologico</t>
  </si>
  <si>
    <t>LOG80 SRL</t>
  </si>
  <si>
    <t>19/07/2016</t>
  </si>
  <si>
    <t>Servizi per progetti aziendali in house</t>
  </si>
  <si>
    <t>05/08/2016</t>
  </si>
  <si>
    <t>Aou Bo- Ulteriore provvedimento fornitura farmaci nelle more Intercenter</t>
  </si>
  <si>
    <t>09/08/2016</t>
  </si>
  <si>
    <t>DOMPE' S.P.A.</t>
  </si>
  <si>
    <t>Komtur Pharmaceuticals</t>
  </si>
  <si>
    <t>Aou Bo-Ulteriore provvedimento fornitura farmaci nelle more Intercenter</t>
  </si>
  <si>
    <t>Ausl Imola-Acquisto nuovo farmaco Orkambi</t>
  </si>
  <si>
    <t>Vertex Pharmaceuticals srl</t>
  </si>
  <si>
    <t>Rinnovo annuale di valvole aortiche percutanee corevalve revalving system</t>
  </si>
  <si>
    <t>Rinnovo annuale della Fornitura di Endoprotesi E-Vita Open Plus</t>
  </si>
  <si>
    <t>FORNITURA E SERVIZIO DI NPT DOMICILIARE IN CONTINUITA' ASSISTENZIALE</t>
  </si>
  <si>
    <t>30/04/2017</t>
  </si>
  <si>
    <t>22/03/2016</t>
  </si>
  <si>
    <t>CALZE ELASTICHE ANTI TROMBO</t>
  </si>
  <si>
    <t>LABORATORI PIAZZA</t>
  </si>
  <si>
    <t>18/08/2016</t>
  </si>
  <si>
    <t>cotonini per neurochirurgia in materiale sintetico</t>
  </si>
  <si>
    <t>15/04/2016</t>
  </si>
  <si>
    <t>COTONINI PER NEUROCHIRURGIA IN COTONE</t>
  </si>
  <si>
    <t>Fiomed s.r.l.</t>
  </si>
  <si>
    <t>INTERVENTI DI RIPARAZIONE URGENTI   SU  SISTEMI DI   VIDEO GASTROSCOPI E VIDEO COLONSCOPI DI PRODUZIONE OLYMPUS</t>
  </si>
  <si>
    <t>26/08/2016</t>
  </si>
  <si>
    <t>contratti di manutenzione ditta Ing.Burgatti periodo 1/1/2017-30/6/2018</t>
  </si>
  <si>
    <t xml:space="preserve">Affidamento in house di attività per gestione avanzata e monitoraggio rete dati e altri servizi informatici </t>
  </si>
  <si>
    <t>LEPIDA S.P.A.</t>
  </si>
  <si>
    <t>25/08/2016</t>
  </si>
  <si>
    <t>adesione intercent-ER alla convenzione Fornitura di calzature e sispositivi di protezione indeviduale 3 - lotto 1</t>
  </si>
  <si>
    <t>01/09/2016</t>
  </si>
  <si>
    <t>27/07/2020</t>
  </si>
  <si>
    <t>RDO AVEC FRIGHI E CONGELATORI</t>
  </si>
  <si>
    <t>ANALYTICAL CONTROL DE MORI SRL</t>
  </si>
  <si>
    <t>KW APPARECCHI SCIENTIFICI SRL</t>
  </si>
  <si>
    <t>Angelantoni Life Science</t>
  </si>
  <si>
    <t>CF DI CIRO FIOCCHETTI &amp; C. SNC</t>
  </si>
  <si>
    <t>Nuova Criotecnica Amcota</t>
  </si>
  <si>
    <t>RDO coloranti tissutali per chirurgia oculare e soluzioni saline bilanciate - LOTTO 1</t>
  </si>
  <si>
    <t>RDO coloranti tissutali per chirurgia oculare e soluzioni saline bilanciate LOTTO 2</t>
  </si>
  <si>
    <t>RDO coloranti tissutali per chirurgia oculare e soluzioni saline bilanciate LOTTO 3</t>
  </si>
  <si>
    <t>SIFIMEDTECH SRL</t>
  </si>
  <si>
    <t>AFFIDAMENTO DEL SERVIZIO DI RITIRO, TRASPORTO E SMALTIMENTO DEI RIFIUTI RADIOATTIVI PRODOTTI DA AOUBO IOR AUSLBO AOUFE</t>
  </si>
  <si>
    <t>09/09/2016</t>
  </si>
  <si>
    <t>rinnovo materiale di consumo umidificatori Fisher &amp; Paykel</t>
  </si>
  <si>
    <t>Fisher&amp;Paykel Healthcare S.A.S.</t>
  </si>
  <si>
    <t>24/08/2016</t>
  </si>
  <si>
    <t>RINNOVO MATERIALE DI CONSUMO COLONNE VIDEOLAPAROSCOPICHE</t>
  </si>
  <si>
    <t>LAMONEA SRL</t>
  </si>
  <si>
    <t>REVOCATA AGGIUDICAZIONE DI € 5.458,00 CON DETERMINA 2454 DEL 13.09.2016</t>
  </si>
  <si>
    <t>MATERIALE DI CONSUMO COLONNE LAPARASCOPICHE</t>
  </si>
  <si>
    <t>MATERIALE CONSUMO PER COLONNE VIDEOLAPAROSCOPICHE</t>
  </si>
  <si>
    <t>SERVICE SISTEMI PER AFERESI</t>
  </si>
  <si>
    <t>FRESENIUS KABI ITALIA SRL CON UNICO SOCIO</t>
  </si>
  <si>
    <t>26/01/2016</t>
  </si>
  <si>
    <t>HAEMONETICS ITALIA srl</t>
  </si>
  <si>
    <t>Terumo BCT Europe N.V. Filiale Italiana</t>
  </si>
  <si>
    <t>RDO INTERCENT-ER FORNITURA IN NOLEGGIO TRIENNALE SISTEMA INIEZIONE CO2 PER AOUBO</t>
  </si>
  <si>
    <t>N.G.C.MEDICAL S.P.A.</t>
  </si>
  <si>
    <t>22/08/2016</t>
  </si>
  <si>
    <t>rinnovo coperte monopaziente bair ugger 505</t>
  </si>
  <si>
    <t>19/09/2016</t>
  </si>
  <si>
    <t>Affidamento in house alla Società Lepida S.p.A. di attività per la gestione avanzata e il monitoraggio della rete dati e altri servizi informatici anno 2016 per Ausl Bo e Aosp Bo</t>
  </si>
  <si>
    <t>02/09/2016</t>
  </si>
  <si>
    <t>SERVICE DI MODULO PER EMOPERFUSIONE E CARTUCCE TORAYMIXIN</t>
  </si>
  <si>
    <t>ESTOR S.P.A.</t>
  </si>
  <si>
    <t>SERVICE DI CONNETTORI STERILI</t>
  </si>
  <si>
    <t>articoli laboratorio in plastica - lotto 1</t>
  </si>
  <si>
    <t>BIOSIGMA S.R.L.</t>
  </si>
  <si>
    <t>VWR International Srl</t>
  </si>
  <si>
    <t>INCOFAR SRL</t>
  </si>
  <si>
    <t>RDO PRODOTTI IN PLASTICA - ANATOMIA PATOLOGICA - LOTTO 2</t>
  </si>
  <si>
    <t>RDO PRODOTTI IN PLASTICA - LOTTO 3</t>
  </si>
  <si>
    <t>Starlab Srl</t>
  </si>
  <si>
    <t>RDO PRODOTTI IN PLASTICA - LOTTO 4</t>
  </si>
  <si>
    <t>RDO FORNITURA STRUMENTAZIONE OLYMPUS X AUSL IMOLA</t>
  </si>
  <si>
    <t>Acquisto diretto per fornitura biennale di kit per estrazione automatica di acidi nucleici per AOUBO</t>
  </si>
  <si>
    <t>EUROCLONE S.p.A.</t>
  </si>
  <si>
    <t>16/08/2016</t>
  </si>
  <si>
    <t xml:space="preserve">Fornitura di sistemi di smaltimento di materiali biologici per l'Azienda USL di Bologna e Aziende Ospedaliere di Bologna e Ferrara </t>
  </si>
  <si>
    <t>BIMEDICA SRL</t>
  </si>
  <si>
    <t>Promos S.p.A.</t>
  </si>
  <si>
    <t>N. 1 APPARECCHIATURA LASER DOPPIA SORGENTE</t>
  </si>
  <si>
    <t>CARLO BIANCHI SRL</t>
  </si>
  <si>
    <t>14/07/2016</t>
  </si>
  <si>
    <t>FORNITURA DI N. 2 TAVOLI OPERATORI MOBILI E RELATIVI ACCESSORI</t>
  </si>
  <si>
    <t>03/08/2016</t>
  </si>
  <si>
    <t>TRUMPF MED ITALIA S.R.L.</t>
  </si>
  <si>
    <t>OPT SurgiSystems S.r.L.</t>
  </si>
  <si>
    <t>ESITO PN82/2016 FORNITURA BIENNALE IN SERVICE DI UN SISTEMA AUTOMATIZZATO DI BIOLOGIA MOLECOLARE</t>
  </si>
  <si>
    <t>Essendo un service la data di inizio della fornitura corrisponderà alla data di collaudo con esito postivo</t>
  </si>
  <si>
    <t>IOR acquisto farmaco STRENSIQ estero esclusivo</t>
  </si>
  <si>
    <t>ALEXION PHARMA Internationl Trading</t>
  </si>
  <si>
    <t>03/10/2016</t>
  </si>
  <si>
    <t>FORNITURA ELETTROCARDIOGRAFI  IN ACCORDO QUADRO</t>
  </si>
  <si>
    <t>GARA IN 3 LOTTI-LOTTO 3 SOLO PER AZIENDA USL-SONO STATI CREATI 3 CIG IN ACCORDO QUADRO UNO PER LOTTO INVECE DI UN CIG UNICO E DAL CIG LOTTO 3 IN ACCORDO QUADRO E' STATO PRESO UN CIG DERIVATO. DI CONSEGUENZA L'IMPORTO DEL CIG IN ACCORDO QUADRO LOTTO 3 E' UGUALE ALL'IMPORTO DEL CIG DERIVATO LOTTO 3</t>
  </si>
  <si>
    <t>ESAOTE S.p.A.</t>
  </si>
  <si>
    <t>MORTARA INSTRUMENT EUROPE S.R.L.</t>
  </si>
  <si>
    <t>NIHON KOHDEN ITALIA SRL con Socio Unico</t>
  </si>
  <si>
    <t>RDO SISTEMA DI MONITORAGGIO INTRAOPERATORIO X IOR</t>
  </si>
  <si>
    <t>EMS ITALIA SPA</t>
  </si>
  <si>
    <t>29/08/2016</t>
  </si>
  <si>
    <t>NOLEGGIO ECOGRAFO AOUO-LOTTO 1</t>
  </si>
  <si>
    <t>01/12/2016</t>
  </si>
  <si>
    <t>30/11/2021</t>
  </si>
  <si>
    <t>06/07/2016</t>
  </si>
  <si>
    <t>MINDRAY MEDICAL ITALY S.R.L.</t>
  </si>
  <si>
    <t>WALDNER SRL</t>
  </si>
  <si>
    <t>SAMSUNG MEDISON ITALIA SRL</t>
  </si>
  <si>
    <t>RTI PHILIPS SPA-SGEFI-ARCOLAVORI</t>
  </si>
  <si>
    <t>Arco Lavori</t>
  </si>
  <si>
    <t>SG EQUIPMENT FINANCE ITALY SPA</t>
  </si>
  <si>
    <t>NOLEGGIO ECOGRAFO X AOUBO-LOTTO 2</t>
  </si>
  <si>
    <t>SAMSUNG ELECTRONICS ITALIA</t>
  </si>
  <si>
    <t>NOLEGGIO ECOGRAFO X AOUBO-LOTTO 3</t>
  </si>
  <si>
    <t>NOLEGGIO ECOGRAFO X AOUBO-LOTTO 4</t>
  </si>
  <si>
    <t>NOLEGGIO ECOGRAFO X AOUBO-LOTTO 5</t>
  </si>
  <si>
    <t>ADESIONE CONSIP ECOTOMOGRAFI 4-LOTTO 3 X AOUBO</t>
  </si>
  <si>
    <t>10/10/2016</t>
  </si>
  <si>
    <t>PROROGA SERVICE DI SISTEMI PER CITOFLUORIMETRIA</t>
  </si>
  <si>
    <t>FORNITURA SONDE IN SEDE AVEC</t>
  </si>
  <si>
    <t>PROROGA SERVICE LIGASURE E FORCE TRIAD</t>
  </si>
  <si>
    <t>SERVICE GENERATORE ELETTROCHIRURGICO</t>
  </si>
  <si>
    <t>28/09/2016</t>
  </si>
  <si>
    <t>27/09/2016</t>
  </si>
  <si>
    <t>28/06/2016</t>
  </si>
  <si>
    <t>Affidamento del servizio di postalizzazione per la notifica di atti giudiziari per le Aziende USL di Bologna e Imola</t>
  </si>
  <si>
    <t>Postel SpA</t>
  </si>
  <si>
    <t>RTI - Postel SpA - POSTE ITALIANE S.P.A.- SOCIETà CON SOCIO UNICO</t>
  </si>
  <si>
    <t>11/10/2016</t>
  </si>
  <si>
    <t>POSTE ITALIANE S.P.A.- SOCIETà CON SOCIO UNICO</t>
  </si>
  <si>
    <t>RDO N. PI038536 FORNITURA DI N. 21 DEFIBRILLATORI PER AUSL DI IMOLA</t>
  </si>
  <si>
    <t>ZOLL MEDICAL ITALIA</t>
  </si>
  <si>
    <t>DEVYSER ITALIA SRL</t>
  </si>
  <si>
    <t>SERVIZIO DI MANUTENZIONE E ASSISTENZA ORDINARIA E STRAORDINARIA SUI SISTEMI SOFTWARE DI ANATOMIA PATOLOGICA E LABORATORIO ANALISI</t>
  </si>
  <si>
    <t>13/10/2016</t>
  </si>
  <si>
    <t>RDO FORNITURA SISTEMI RECUPERO SANGUE PER AVEC</t>
  </si>
  <si>
    <t>Pollution hospital S.r.l.</t>
  </si>
  <si>
    <t>21/03/2016</t>
  </si>
  <si>
    <t>REDAX S.R.L.</t>
  </si>
  <si>
    <t>RDO 40483 LOTTO N. 1: N. 160 POMPE A SIRINGA AVEC</t>
  </si>
  <si>
    <t>30/08/2016</t>
  </si>
  <si>
    <t>RDO 40483 LOTTO N. 2: N. 20 POMPE A SIRINGA TIVA/TCI AOU BO</t>
  </si>
  <si>
    <t>Materiale di cancelleria - Lotto 1</t>
  </si>
  <si>
    <t>MyO SpA</t>
  </si>
  <si>
    <t>24/10/2016</t>
  </si>
  <si>
    <t>23/04/2017</t>
  </si>
  <si>
    <t>14/09/2016</t>
  </si>
  <si>
    <t>BM SERVICE SRL</t>
  </si>
  <si>
    <t>F.LLI BIAGINI SRL</t>
  </si>
  <si>
    <t>OFFICART SRL UNIPERSONALEDED 2</t>
  </si>
  <si>
    <t>THEMA OFFICE di Tizzi Gildo &amp; C. s.a.s</t>
  </si>
  <si>
    <t>G.B. CARTA CANCELLERIA SRLDED. 1</t>
  </si>
  <si>
    <t>Materiale cancelleria - Lotto 2</t>
  </si>
  <si>
    <t>ACQUISTO VACCINO VETERINARIO PER BLUETONGUE</t>
  </si>
  <si>
    <t>MERIAL ITALIA S.P.A.</t>
  </si>
  <si>
    <t>17/10/2016</t>
  </si>
  <si>
    <t>Aou di Bologna -Stipula contratto ponte Farmaco esclusivo CORTIMENT</t>
  </si>
  <si>
    <t>RDO FORNITURA DI N. 1 TELECAMERA CAMPO OPERATORIO</t>
  </si>
  <si>
    <t>13/09/2016</t>
  </si>
  <si>
    <t>BIOMEDICAL TECHNOLOGY SRL</t>
  </si>
  <si>
    <t>DASIT S.P.A.</t>
  </si>
  <si>
    <t>Acquisto diretto per la fornitura biennale eventualmente rinnovabile per un anno di membrane precl,pericardio goretex per le esigenze AOUBO</t>
  </si>
  <si>
    <t>15/09/2016</t>
  </si>
  <si>
    <t>Acquisto diretto per la fornitura biennale eventualemnte rinnovabile per un ulteriore anno di bustine antibatteriche mod.tyrx per le esigenze dell'AOUBO</t>
  </si>
  <si>
    <t>TRX ITALY S.R.L.</t>
  </si>
  <si>
    <t>Mat.cons. e reagenti sistemi sequenziamento</t>
  </si>
  <si>
    <t>14/09/2018</t>
  </si>
  <si>
    <t>13/07/2016</t>
  </si>
  <si>
    <t>RDO NR. 1348080-16 per l'acquisizione di servizi di installazione e configurazione infrastruttura datacenter e servizi di assistenza sistemistica per un periodo triennale</t>
  </si>
  <si>
    <t>3CiME Technology srl</t>
  </si>
  <si>
    <t>03/11/2016</t>
  </si>
  <si>
    <t>Datef</t>
  </si>
  <si>
    <t>EDP4YOU</t>
  </si>
  <si>
    <t xml:space="preserve">LAN SERVICE </t>
  </si>
  <si>
    <t>Matika</t>
  </si>
  <si>
    <t>PR.ES SRL</t>
  </si>
  <si>
    <t>S.A.P. SRL</t>
  </si>
  <si>
    <t>Fornitura annuale di etichette per stampanti termiche - lotto 1</t>
  </si>
  <si>
    <t>02/11/2016</t>
  </si>
  <si>
    <t>Fornitura annuale di etichette per stampanti termiche - lotto 2</t>
  </si>
  <si>
    <t>Fornitura annuale di etichette per stampanti termiche - lotto 3</t>
  </si>
  <si>
    <t>Fornitura annuale di etichette per stampanti termiche - lotto 4</t>
  </si>
  <si>
    <t>Fornitura annuale di etichette per stampanti termiche - lotto 5</t>
  </si>
  <si>
    <t>Fornitura annuale di etichette per stampanti termiche - lotto 6</t>
  </si>
  <si>
    <t>Fornitura annuale di etichette per stampanti termiche - lotto 7</t>
  </si>
  <si>
    <t>Fornitura annuale di etichette per stampanti termiche - lotto 8</t>
  </si>
  <si>
    <t>Fornitura annuale di etichette per stampanti termiche - lotto 9</t>
  </si>
  <si>
    <t>Fornitura annuale di etichette per stampanti termiche - lotto 10</t>
  </si>
  <si>
    <t>Fornitura annuale di etichette per stampanti termiche - lotto 11</t>
  </si>
  <si>
    <t>Fornitura annuale di etichette per stampanti termiche - lotto 12</t>
  </si>
  <si>
    <t>Fornitura annuale di etichette per stampanti termiche - lotto 13</t>
  </si>
  <si>
    <t>Fornitura annuale di etichette per stampanti termiche - lotto 14</t>
  </si>
  <si>
    <t>Fornitura annuale di etichette per stampanti termiche - lotto 15</t>
  </si>
  <si>
    <t>Fornitura annuale di etichette per stampanti termiche - lotto 16</t>
  </si>
  <si>
    <t>Fornitura annuale di etichette per stampanti termiche - lotto 17</t>
  </si>
  <si>
    <t>Fornitura annuale di etichette per stampanti termiche - lotto 18</t>
  </si>
  <si>
    <t>Fornitura annuale di etichette per stampanti termiche - lotto 19</t>
  </si>
  <si>
    <t>Fornitura annuale di etichette per stampanti termiche - lotto 20</t>
  </si>
  <si>
    <t>Fornitura annuale di etichette per stampanti termiche - lotto 21</t>
  </si>
  <si>
    <t>Fornitura annuale di etichette per stampanti termiche - lotto 22</t>
  </si>
  <si>
    <t>Fornitura annuale di etichette per stampanti termiche - lotto 23</t>
  </si>
  <si>
    <t>Fornitura annuale di etichetter per stampanti termiche - lotto 24</t>
  </si>
  <si>
    <t>Fornitura annuale di etichette per stampanti termiche - lotto 25</t>
  </si>
  <si>
    <t>Fornitura annuale di etichette per stampanti termiche - lotto 26</t>
  </si>
  <si>
    <t>Fornitura annuale di etichette per stampanti termiche - lotto 27</t>
  </si>
  <si>
    <t>Fornitura annuale di etichette per stampanti termiche - lotto 28</t>
  </si>
  <si>
    <t>Fornitura di etichette per stampanti termiche - lotto 29</t>
  </si>
  <si>
    <t>Fornitura annuale di etichette per stampanti termiche - lotto 30</t>
  </si>
  <si>
    <t>Fornitura annuale di etichette per stampanti termiche - lotto 31</t>
  </si>
  <si>
    <t>Fornitura annuale di etichette per stampanti termiche - lotto 32</t>
  </si>
  <si>
    <t>Fornitura annuale di etichette per stampanti termiche - lotto 33</t>
  </si>
  <si>
    <t>AZIENDA USL DI IMOLA - RINNOVO CONTRATTO COTTIMO FIDUCIARIO N. 140/2014 PER L’ACQUISIZIONE DI UN SERVIZIO DI INTERVENTI DI PREVENZIONE RELATIVAMENTE ALL’ABUSO DI SOSTANZE E VERSO COMPORTAMENTI A RISCHIO ADDICTION – PROGETTO VIVERE PER DSM DS</t>
  </si>
  <si>
    <t>CONSORZIO DI COOPERATIVE SOCIALI SOL.CO. IMOLA S.C.S.</t>
  </si>
  <si>
    <t>04/11/2016</t>
  </si>
  <si>
    <t>Fornitura di etichette per stampanti termiche - lotto 34</t>
  </si>
  <si>
    <t>Fornitura di etichette per stampanti termiche - lotto 35</t>
  </si>
  <si>
    <t>Fornitura di etichette per stampanti termiche - lotto 36</t>
  </si>
  <si>
    <t>Fornitura di etichette per stampanti termiche - lotto 37</t>
  </si>
  <si>
    <t>Fornitura di etichette per stampanti termiche - lotto 38</t>
  </si>
  <si>
    <t>Fornitura di etichette per stampanti termiche - lotto 39</t>
  </si>
  <si>
    <t>Fornitura di etichette per stampanti termiche - lotto 40</t>
  </si>
  <si>
    <t>Fornitura di etichette per stampanti termiche - lotto 41</t>
  </si>
  <si>
    <t>Fornitura di etichette per stampanti termiche - lotto 42</t>
  </si>
  <si>
    <t>RDO SISTEMI DI MONITORAGGIO PER AOUBO</t>
  </si>
  <si>
    <t>05/10/2016</t>
  </si>
  <si>
    <t>AOUBO FORNITURA SERVIZIO POLISONNOGRAFIA DOMICILIARE</t>
  </si>
  <si>
    <t>SAPIO LIFE S.R.L.</t>
  </si>
  <si>
    <t>22/06/2016</t>
  </si>
  <si>
    <t>RINNOVO FORNITURE SONDE X AUSL BO E AUSLIMOLA</t>
  </si>
  <si>
    <t>25/10/2016</t>
  </si>
  <si>
    <t>Auslbo-Ao - Esito rdo nr. PI049972/2016 per l'acquisto di stampanti termiche per braccialetti e bracciali pazienti</t>
  </si>
  <si>
    <t>10/11/2016</t>
  </si>
  <si>
    <t>BCS Biomedical Computering Systems srl</t>
  </si>
  <si>
    <t>CENTRO COMPUTER S.P.A.</t>
  </si>
  <si>
    <t>DPS INFORMATICA di Presello Gianni &amp; C. SNC</t>
  </si>
  <si>
    <t>FERRARI COMPUTER BOLOGNA SRL</t>
  </si>
  <si>
    <t>TEAM MEMORES COMPUTER S.p.A.</t>
  </si>
  <si>
    <t>FORNITURA ARREDI POLO FORMATIVO X AUSLIMOLA</t>
  </si>
  <si>
    <t>Farolfi Arredamenti S.R.L.</t>
  </si>
  <si>
    <t>FORNITURA DI N. 1 SISTEMA PER VIDEOLAPAROSCOPIA PER CHIRURGIA GENERALE AOU BO</t>
  </si>
  <si>
    <t>29/12/2016</t>
  </si>
  <si>
    <t>FORNITURA DI N. 1 LASER PER ATTIVITA' BRONCOSCOPICA AOU BO</t>
  </si>
  <si>
    <t>Grimed s.r.l.</t>
  </si>
  <si>
    <t>Servizio di trasporto persone con conducente mediante l'utilizzo do taxi card per le esigenze dell'istituto Ortopedico Rizzoli</t>
  </si>
  <si>
    <t xml:space="preserve">Cooperativa Taxisti Bolognesi - CO.TA.BO. </t>
  </si>
  <si>
    <t>16/11/2016</t>
  </si>
  <si>
    <t>Noleggio di attrezzature hardware e software per la stampa digitale presso il Centro Stampa unificato dell'AUSl di Bologna e AOSP di Bologna, dei servizi di stampa digitale, manutenzione e assistenza full-risk, supporto e formazione</t>
  </si>
  <si>
    <t>VALVOLE E PROTESI CARDIAHE</t>
  </si>
  <si>
    <t>ANTON-MED SNC</t>
  </si>
  <si>
    <t>01/10/2016</t>
  </si>
  <si>
    <t>30/09/2018</t>
  </si>
  <si>
    <t xml:space="preserve">AOBO- Estensione del contratto (Determinazione 1406-2016) per l'acquisizione servizi informatici per l'avvio della nuova piattaforma gestione risorse umane e piattaforma babel </t>
  </si>
  <si>
    <t>23/11/2016</t>
  </si>
  <si>
    <t xml:space="preserve"> </t>
  </si>
  <si>
    <t>FORNITURA A SOMMINISTRAZIONE DELLA DURATA DI 2 ANNI DI N. 16 MISURATORI DELLA PRESSIONE E PULSOSSIMETRIA PER AUSL  IMOLA E AOUBO</t>
  </si>
  <si>
    <t>BURKE &amp; BURKE S.p.A.</t>
  </si>
  <si>
    <t>21/10/2016</t>
  </si>
  <si>
    <t>BIOTEC SANITÀ S.R.L</t>
  </si>
  <si>
    <t xml:space="preserve">KIT FREDDI - LOTTO 1  </t>
  </si>
  <si>
    <t>ASTRIM SRL</t>
  </si>
  <si>
    <t>SORGENTI - LOTTO 2</t>
  </si>
  <si>
    <t>ECKERT &amp;ZIEGLER</t>
  </si>
  <si>
    <t>08/08/2016</t>
  </si>
  <si>
    <t>SORGENTI - LOTTO 3</t>
  </si>
  <si>
    <t>Elekta S.p.A.</t>
  </si>
  <si>
    <t>SORGENTI - LOTTO 4</t>
  </si>
  <si>
    <t>GAMMA SERVIZI</t>
  </si>
  <si>
    <t xml:space="preserve">KIT FREDDI E CASSETTE - LOTTO 5 </t>
  </si>
  <si>
    <t>GE HEALTHCARE SRL</t>
  </si>
  <si>
    <t>SOLUZIONI E SORGENTI - LOTTO 6 s</t>
  </si>
  <si>
    <t>IBA MOLECULAR ITALY SRL</t>
  </si>
  <si>
    <t xml:space="preserve">KIT FREDDI - LOTTO 7 </t>
  </si>
  <si>
    <t>MALLINCKRODT RADIOPHARMACEUTICALS ITALIA SPA</t>
  </si>
  <si>
    <t>GENERATORI - LOTTO 8</t>
  </si>
  <si>
    <t>06/08/2016</t>
  </si>
  <si>
    <t xml:space="preserve">SOLUZIONI E SORGENTI - LOTTO 9 </t>
  </si>
  <si>
    <t xml:space="preserve">SERVIZI NUCLEARI SNC </t>
  </si>
  <si>
    <t xml:space="preserve">SORGENTI - LOTTO 2 </t>
  </si>
  <si>
    <t>31/07/2017</t>
  </si>
  <si>
    <t>KIT FREDDI - LOTTO 5</t>
  </si>
  <si>
    <t xml:space="preserve">SOLUZIONI E SORGENTI LOTTO 6 </t>
  </si>
  <si>
    <t>KIT FREDDI - LOTTO 7</t>
  </si>
  <si>
    <t xml:space="preserve">KIT MONOTITAGGIO PRESSORIO A/V CON SISTEMA CHIUSO </t>
  </si>
  <si>
    <t>KIT PER IL MONITORAGGIO PRESSORIO A/V CON SISTEMA CHIUSO</t>
  </si>
  <si>
    <t xml:space="preserve">KIT MONITORAGGIO PRESSORIO A/V SENZA SISTEMA CHIUSO </t>
  </si>
  <si>
    <t>KIT MONOTORAGGIO PRESSORIO A/V SENZA SISTEMA CHIUSO</t>
  </si>
  <si>
    <t xml:space="preserve">SISTEMA ASS.VENTRICOLARE HEARTWARE - MOD HVAD </t>
  </si>
  <si>
    <t>Aptiva Medical Srl</t>
  </si>
  <si>
    <t>02/08/2016</t>
  </si>
  <si>
    <t>rinnovo affidamento del servizio di ristorazione per l'Azienda USL di Imola</t>
  </si>
  <si>
    <t>18/11/2016</t>
  </si>
  <si>
    <t>17/11/2017</t>
  </si>
  <si>
    <t xml:space="preserve">MICROSFERE Y90 IN VETRO  </t>
  </si>
  <si>
    <t>24/06/2016</t>
  </si>
  <si>
    <t xml:space="preserve">MICROSFERE Y90 IN RESINA </t>
  </si>
  <si>
    <t>SISTEMI DIAGNOSTICI PER GLICEMIA USO OSPEDALIERO ROROGA</t>
  </si>
  <si>
    <t>13/11/2016</t>
  </si>
  <si>
    <t>SISTEMI DIAGNOSTICI PER GLICEMIA USO OSPEDALIERO PROROGA</t>
  </si>
  <si>
    <t xml:space="preserve">FILTRI PER EMODIALISI PMMA A FIBRE CAVE </t>
  </si>
  <si>
    <t>30/11/2018</t>
  </si>
  <si>
    <t>27/10/2016</t>
  </si>
  <si>
    <t>FORNITURA DI N. 1 TERMOCICLATORE REAL TIME PCR OCCORRENTE AL CENTRO RIFERIMENTO REGIONALE EMERGENZE MICROBIOLOGICHE DEL LABORATORIO DI MICROBIOLOGIA AOUBO</t>
  </si>
  <si>
    <t>24/11/2016</t>
  </si>
  <si>
    <t>Rinnovo sintesi esclusiva fatta da AUSLBO</t>
  </si>
  <si>
    <t>AMS Group S.r.l. Società Unipersonale</t>
  </si>
  <si>
    <t>RINNOVO SINTESI ESCLUSIVI DA AUSLBO</t>
  </si>
  <si>
    <t>ARTHREX ITALIA SRL</t>
  </si>
  <si>
    <t>Clinika S.r.l.</t>
  </si>
  <si>
    <t>DIAL MEDICALI SRL</t>
  </si>
  <si>
    <t>INTRAUMA SRL</t>
  </si>
  <si>
    <t>MEDCOM TECH ITALIA S.R.L.</t>
  </si>
  <si>
    <t>MEDICAL2011 SRL</t>
  </si>
  <si>
    <t>MIKAI S.p.A.</t>
  </si>
  <si>
    <t>M.I.T. ITALIA S.r.l.</t>
  </si>
  <si>
    <t>NOVAGENIT SRL</t>
  </si>
  <si>
    <t>NUVASIVE ITALIA S.R.L.</t>
  </si>
  <si>
    <t>ORTHOFIX SRL</t>
  </si>
  <si>
    <t>SINTEA PLUSTEK SRL</t>
  </si>
  <si>
    <t>SMITH &amp; NEPHEW S.R.L.</t>
  </si>
  <si>
    <t>UBER ROS SPA</t>
  </si>
  <si>
    <t>WRIGHT MEDICAL ITALY S.R.L.</t>
  </si>
  <si>
    <t>RINNOVO SINTESI ESCLUSIVI DA AUSDLBO</t>
  </si>
  <si>
    <t>ZIMMER BIOMET ITALIA Srl</t>
  </si>
  <si>
    <t>RDO SOLUZIONE SALINA BILANCIATA STERILE 15 ML</t>
  </si>
  <si>
    <t>LOTTO DESERTO</t>
  </si>
  <si>
    <t>Sistemi Flash glucose monitoring Freestyle Libre</t>
  </si>
  <si>
    <t>SERVICE SCREENING NEONATALE ENDOCRINO-METABOLICO</t>
  </si>
  <si>
    <t>02-PROCEDURA RISTRETTA</t>
  </si>
  <si>
    <t>PERKIN ELMER ITALIA SPA</t>
  </si>
  <si>
    <t>rinnovo biennale per preparati galenici e materie prime in AVEC</t>
  </si>
  <si>
    <t>AIESI HOSPITAL SERVICE SAS</t>
  </si>
  <si>
    <t>17/11/2016</t>
  </si>
  <si>
    <t>rinnovo biennale per preparati galenici e materie prime</t>
  </si>
  <si>
    <t>rinnovo biennale per preparati galenici e materie prime in avec</t>
  </si>
  <si>
    <t>esito della procedura negoziata 106/2016 per le esigenze dell'AOUBO</t>
  </si>
  <si>
    <t>Stimolatori cardiaci ed elettrocateteri</t>
  </si>
  <si>
    <t>26/09/2016</t>
  </si>
  <si>
    <t>FORNITURA AGGIORNAMENTO DEL SISTEMA DI SINTESI DEI RADIOFARMACI FASTLAB 2 VERSIONE DEVELOPER IN USO PRESSO LA MEDICINA NUCLEARE AOU BO</t>
  </si>
  <si>
    <t>12/12/2016</t>
  </si>
  <si>
    <t>RISOLUZIONE CONTRATTO FORNITURA TEST PER DIAGNOSI IN VIVO PER AUSL BOLOGNA E IMOLA</t>
  </si>
  <si>
    <t>15/12/2016</t>
  </si>
  <si>
    <t>e' una negoziata a seguito di risoluzione contratto con ditta precedente</t>
  </si>
  <si>
    <t>Esito RDO PI056136-16 esperita su piattaforma intercent er per la fornitura biennale di crema idratante tipo ESSEX per le esigenze dell'Aziende Sanitarie dell'AVEC</t>
  </si>
  <si>
    <t>06/10/2016</t>
  </si>
  <si>
    <t>SERVICE SISTEMI PER LA DETERMINAZIONE DELLA VES</t>
  </si>
  <si>
    <t>ALIFAX SRL</t>
  </si>
  <si>
    <t>AOU BO-Farmaco esclusivo Sylvant nelle more Intercenter</t>
  </si>
  <si>
    <t>FORNITURAIN NOLEGGIO  DI UN PROTOTIPO DI SIMULATORE DI PROTESI D'ANCA PER IOR DI BOLOGNA</t>
  </si>
  <si>
    <t>Synthes s.r.l.</t>
  </si>
  <si>
    <t xml:space="preserve">SERVICE DI SISTEMA PER CONTROLLO PARAMETRI EMODINAMICI </t>
  </si>
  <si>
    <t>22/07/2016</t>
  </si>
  <si>
    <t>Farmaco Principio Attivo VILANTEROLO/FLUTICASONE</t>
  </si>
  <si>
    <t>CODIFI - CONSORZIO STABILE PER LA DISTRIBUZIONE SRL</t>
  </si>
  <si>
    <t>19/12/2016</t>
  </si>
  <si>
    <t>acquisto diretto siringhe per iniettori</t>
  </si>
  <si>
    <t>Mallinckrodt Italia S.r.l.</t>
  </si>
  <si>
    <t>30/11/2016</t>
  </si>
  <si>
    <t>affidamento diretto siringhe per iniettori</t>
  </si>
  <si>
    <t>AGFA-GEVAERT S.p.A.</t>
  </si>
  <si>
    <t>proroga guanti in attesa gara intercenter</t>
  </si>
  <si>
    <t>16/12/2016</t>
  </si>
  <si>
    <t>proroga guanti nelle more nuova gara intercent-er</t>
  </si>
  <si>
    <t>proroga guanti nelle more gara Intercent-er</t>
  </si>
  <si>
    <t>proroga guanti nelle more gara Intecent-er</t>
  </si>
  <si>
    <t>proroga guanti nelloe more gara Intecenter</t>
  </si>
  <si>
    <t>proroga guanti nelle more gara intercent-er</t>
  </si>
  <si>
    <t>miscele nutrizionali integrazione proroga</t>
  </si>
  <si>
    <t>30/12/2016</t>
  </si>
  <si>
    <t>ACQUISIZIONE RIVISTE ON LINE E CARTACEE IOR ANNO 2017</t>
  </si>
  <si>
    <t>Il Pensiero Scientifico Editore Srl</t>
  </si>
  <si>
    <t>01/01/2017</t>
  </si>
  <si>
    <t>31/12/2017</t>
  </si>
  <si>
    <t>07/12/2016</t>
  </si>
  <si>
    <t>EDRA LSWR</t>
  </si>
  <si>
    <t>SCE SC Edirice soc. coop</t>
  </si>
  <si>
    <t>ASSINFORM</t>
  </si>
  <si>
    <t>GRUPPO WOLTERS KLUWER</t>
  </si>
  <si>
    <t>AOBO esito Rdo nr.36387 per l'acquisto di servizi di sviluppo, formazione e messa in opera di un sistema di gestione delle prestazioni acquisite all'esterno</t>
  </si>
  <si>
    <t xml:space="preserve">AOBO- Esito rdo PI051115/2016 per l'acquisto di una piattaforma software web per il monitoraggio "Inclinic" e "Remote" di pazienti portatori di PM, ICD, ICM, ILR </t>
  </si>
  <si>
    <t>TMS Telemedicine South Tyrol Srl</t>
  </si>
  <si>
    <t>27/12/2016</t>
  </si>
  <si>
    <t>FORNITURA MISCELE NUTRIZIONALI NESTLE'</t>
  </si>
  <si>
    <t>FORNITURA MISCELE NUTRIZIONALI NUTRICIA</t>
  </si>
  <si>
    <t>FORNITURA MISCELE NUTRIZIONALI NUTRISENS</t>
  </si>
  <si>
    <t>FORNITURA POLTRONE RELAX PER IMOLA</t>
  </si>
  <si>
    <t>GIVAS S.R.L.</t>
  </si>
  <si>
    <t>22/11/2016</t>
  </si>
  <si>
    <t>APPMED srl</t>
  </si>
  <si>
    <t>VERNIPOLL</t>
  </si>
  <si>
    <t>Malvestio S.p.a.</t>
  </si>
  <si>
    <t>RISCATTO DI N. 1 APPARECCHIO PORTATILE PER RADIOSCOPIA PER POLO CTV AOU BO</t>
  </si>
  <si>
    <t>ZIEHM IMAGING SRL</t>
  </si>
  <si>
    <t>28/12/2016</t>
  </si>
  <si>
    <t>14/12/2016</t>
  </si>
  <si>
    <t>n. 2 elettrobisturi per chirurgia ortopedica e materiale consumo IOR</t>
  </si>
  <si>
    <t>21/09/2016</t>
  </si>
  <si>
    <t>NOLEGGIO IMBUSTATRICI X AUSL IMOLA-LOTTO 2</t>
  </si>
  <si>
    <t>FORNITURA SEPARE X AUSLIMOLA</t>
  </si>
  <si>
    <t>02/12/2016</t>
  </si>
  <si>
    <t>COMPAMED SNC</t>
  </si>
  <si>
    <t>DOIMO MIS SRL</t>
  </si>
  <si>
    <t>Progetto Arredo di Angelone Giovanni</t>
  </si>
  <si>
    <t>cdm</t>
  </si>
  <si>
    <t>FORNITURA 3 TAVOLI OPERATORI X AOUBO E AUSLIMOLA</t>
  </si>
  <si>
    <t>13/02/2017</t>
  </si>
  <si>
    <t>29/12/2017</t>
  </si>
  <si>
    <t>ARCHIMEDE s.r.l.</t>
  </si>
  <si>
    <t>FORNITURA SISTEMI X OCULISTICA X AOUBO-LOTTO 1</t>
  </si>
  <si>
    <t>FORNITURA SERVICE SISTEMA DIAGNOSTICO MOLECOLARE X AOUBO</t>
  </si>
  <si>
    <t>CEPHEID S.R.L.</t>
  </si>
  <si>
    <t>28/11/2016</t>
  </si>
  <si>
    <t xml:space="preserve">LOTTO 1  SOSTANZE E MISCELE CHIMICHE </t>
  </si>
  <si>
    <t xml:space="preserve">LOTTO 2  SOSTANZE E MISCELE CHIMICHE </t>
  </si>
  <si>
    <t xml:space="preserve">LOTTO 3 SOSTANZE E MISCELE CHIMICHE LE </t>
  </si>
  <si>
    <t>LOTTO 4 SOSTANZE E MISCELE CHIMICHE</t>
  </si>
  <si>
    <t xml:space="preserve">LOTTO 5 SOSTANZE E MISCELE CHIMICHE </t>
  </si>
  <si>
    <t>LOTTO 6  SOSTANZE E MISCELE CHIMICHE E.</t>
  </si>
  <si>
    <t xml:space="preserve">LOTTO 7 SOSTANZE E MISCELE CHIMICHE </t>
  </si>
  <si>
    <t xml:space="preserve">LOTTO 8 SOSTANZE E MISCELE CHIMICHE </t>
  </si>
  <si>
    <t xml:space="preserve">PROROGA SERVICE NUTRIZIONE ENTERALE DOMICILIARE </t>
  </si>
  <si>
    <t>22/12/2016</t>
  </si>
  <si>
    <t xml:space="preserve">LOTTO 9  SOSTANZE E MISCELE CHIMICHEZlotto 9 </t>
  </si>
  <si>
    <t xml:space="preserve">LOTTO 10 - SOSTANZE E MISCELE CHIMICHE </t>
  </si>
  <si>
    <t>FORNITURA TRIENNALE PROTESI MAMMARIE ESTERNE X AUSL IMOLA</t>
  </si>
  <si>
    <t xml:space="preserve">LOTTO 11  SOSTANZE E MISCELE CHIMICHE </t>
  </si>
  <si>
    <t xml:space="preserve">LOTTO 12 SOSTANZE E MISCELE CHIMICHE </t>
  </si>
  <si>
    <t xml:space="preserve">SERVICE SUTURATRICI MECCANICHE PLURIUSO E RELATIVI CARICATORI </t>
  </si>
  <si>
    <t xml:space="preserve">LOTTO 13 SOSTANZE E MISCELE CHIMICHE </t>
  </si>
  <si>
    <t xml:space="preserve">LOTTO 14  SOSTANZE E MISCELE CHIMICHE </t>
  </si>
  <si>
    <t xml:space="preserve">LOTTO 15 SOSTANZE E MISCELE CHIMICHE </t>
  </si>
  <si>
    <t xml:space="preserve">LOTTO 16 SOSTANZE E MISCELE CHIMICHE </t>
  </si>
  <si>
    <t xml:space="preserve">LOTTO 17 SOSTANZE E MISCELE CHIMICHE </t>
  </si>
  <si>
    <t xml:space="preserve">LOTTO 18 SOSTANZE E MISCELE CHIMICHE </t>
  </si>
  <si>
    <t xml:space="preserve">LOTTO 19 SOSTANZE E MISCELE CHIMICHE </t>
  </si>
  <si>
    <t xml:space="preserve">LOTTO 20 SOSTANZE E MISCELE CHIMICHE </t>
  </si>
  <si>
    <t xml:space="preserve">LOTTO 21 SOSTANZE E MISCELE CHIMICHE </t>
  </si>
  <si>
    <t xml:space="preserve">LOTTO 22 SOSTANZE E MISCELE CHIMICHE </t>
  </si>
  <si>
    <t xml:space="preserve">LOTTO 23 SOSTANZE E MISCELE CHIMICHE </t>
  </si>
  <si>
    <t xml:space="preserve">LOTTO 24 SOSTANZE E MISCELE CHIMICHE </t>
  </si>
  <si>
    <t xml:space="preserve">LOTTO 25 SOSTANZE E MISCELE CHIMICHE </t>
  </si>
  <si>
    <t xml:space="preserve">LOTTO 26 SOSTANZE E MISCELE CHIMICHE </t>
  </si>
  <si>
    <t xml:space="preserve">LOTTO 1 CATETERI ACCESSO A/V, OMBELICALI E TUNNELLIZZATI  </t>
  </si>
  <si>
    <t>ALFAMED S.R.L.</t>
  </si>
  <si>
    <t>Vygon Italia S.r.l.</t>
  </si>
  <si>
    <t xml:space="preserve">LOTTO 2 CATETERI ACCESSO A/V, OMBELICALI E TUNNELLIZZATI </t>
  </si>
  <si>
    <t xml:space="preserve">LOTTO 3 CATETERI ACCESSO A/V, OMBELICALI E TUNNELLIZZATI </t>
  </si>
  <si>
    <t xml:space="preserve">PLAN 1 HEALTH SRL </t>
  </si>
  <si>
    <t>ARTICOLI IN TNT STERILE</t>
  </si>
  <si>
    <t>BETATEX S.P.A.</t>
  </si>
  <si>
    <t>DELTA MED S.p.A.</t>
  </si>
  <si>
    <t>MOLNLYCKE HEALT CARE S.R.L.</t>
  </si>
  <si>
    <t>PAUL HARTMANN S.P.A.(CONTO DED.MOD.4)</t>
  </si>
  <si>
    <t xml:space="preserve">LOTTO 6 CATETERI ACCESSO A/V, OMBELICALI E TUNNELLIZZATI </t>
  </si>
  <si>
    <t>Bard s.r.l.</t>
  </si>
  <si>
    <t>LOTTO 7 CATETERI ACCESSO A/V, OMBELICALI E TUNNELLiZZATI</t>
  </si>
  <si>
    <t>MATERIALI PER INTERVENTI DI CHIRURGIA VERTEBRALE</t>
  </si>
  <si>
    <t>20/07/2016</t>
  </si>
  <si>
    <t>MATERIALE PER INTERVENTI DI CHIRURGIA VERTEBRALE da AuslBo</t>
  </si>
  <si>
    <t>LENTI INTRAOCULARI</t>
  </si>
  <si>
    <t>05/12/2016</t>
  </si>
  <si>
    <t xml:space="preserve">LOTTO 4 CATETERI A/V, OMBELICALI E TUNNELLIZZATI </t>
  </si>
  <si>
    <t xml:space="preserve">LOTTO NON AGGIUDICATO </t>
  </si>
  <si>
    <t xml:space="preserve">LOTTO 5 CATETERI A/V, OMBELICALI E TUNNELLIZZATI  ombelicali e </t>
  </si>
  <si>
    <t xml:space="preserve">Endoprotesi addominali e toraciche CooKOOi </t>
  </si>
  <si>
    <t>ENDOPROTESI CORONARICHE STENT</t>
  </si>
  <si>
    <t>20/10/2016</t>
  </si>
  <si>
    <t xml:space="preserve">ENDOPROTESI ADDOMINALI E TORACICHE Bolton </t>
  </si>
  <si>
    <t xml:space="preserve">ENDOPORTESI ADDOMINALI E TORACICHE Medtronic </t>
  </si>
  <si>
    <t xml:space="preserve">ENDOPROTESI ADDOMINALI E TORACICHE Serom ROM s </t>
  </si>
  <si>
    <t>SEROM MEDICAL TECHNOLOGY S.R.L.</t>
  </si>
  <si>
    <t xml:space="preserve">ENDOPPROTESI ADDOMINALI E TORACICHE WLGore </t>
  </si>
  <si>
    <t>H.S.</t>
  </si>
  <si>
    <t>ENDOPROTESI ADDOMINALI E TORACICHE Medic.Instru</t>
  </si>
  <si>
    <t xml:space="preserve">Sistema di assietnza ventricolare Berlin Heart Excor </t>
  </si>
  <si>
    <t>VEGA S.P.A.</t>
  </si>
  <si>
    <t>30/11/2017</t>
  </si>
  <si>
    <t>09/12/2016</t>
  </si>
  <si>
    <t xml:space="preserve">Adesione Intercent-ER riscuotitrici automatiche </t>
  </si>
  <si>
    <t>27-CONFRONTO COMPETITIVO IN ADESIONE AD ACCORDO QUADRO/CONVENZIONE</t>
  </si>
  <si>
    <t>Sigma S.p.A.</t>
  </si>
  <si>
    <t>31/12/2020</t>
  </si>
  <si>
    <t>servizio trasporto buste contenenti card per screening neonatale per AOUBO</t>
  </si>
  <si>
    <t>So.Ge.Tras spa</t>
  </si>
  <si>
    <t>21/12/2016</t>
  </si>
  <si>
    <t>SERVICE PER SISTEMA PER ESTRAZIONE ED APPLICAZIONE DI SIGILLANTE DI FIBRINA</t>
  </si>
  <si>
    <t xml:space="preserve">PA 86/2016 fornitura in noleggio un sistema diagnostico ossea digitale e ortopantomografo digitale per le esigenze della UO di radiologia dell’AUSL di Imola </t>
  </si>
  <si>
    <t>22/09/2016</t>
  </si>
  <si>
    <t>ACQUISTO RIVISTE E BANCHE DATI ATTRAVERSO IL PROGETTO NETWORK - ANNO 2017 - DITTA EBSCO</t>
  </si>
  <si>
    <t>ACQUISTO PACCHETTI RIVISTE E BANCHE DATI ATTRAVERSO IL PROGETTO NETWORK - ANNO 2017 - DITTA FENICE</t>
  </si>
  <si>
    <t>FENICE DISTRIBUZIONE S.r.l.</t>
  </si>
  <si>
    <t>ACQUISTO PACCHETTI RIVISTE E BANCHE DATI ATTRAVERSO IL PROGETTO NETWORK - ANNO 2017 - DITTA WOLTERS KLUWER</t>
  </si>
  <si>
    <t>ACQUISTO PACCHETTI RIVISTE E BANCHE DATI ATTRAVERSO IL PROGETTO NETWORK - ANNO 2017 - DITTA EDRA</t>
  </si>
  <si>
    <t>EDRA LSWR SRL</t>
  </si>
  <si>
    <t>ACQUISTO PACCHETTI RIVISTE E BANCHE DATI ATTRAVERSO IL PROGETTO NETWORK - ANNO 2017 - DITTA CINECA</t>
  </si>
  <si>
    <t>CINECA CONSORZIO INTERUNIVERSITARIO</t>
  </si>
  <si>
    <t>ACQUISTO PACCHETTI RIVISTE E BANCHE DATI ATTRAVERSO IL PROGETTO NETWORK - ANNO 2017 - DITTA OVID</t>
  </si>
  <si>
    <t>OVID TECHNOLOGIES</t>
  </si>
  <si>
    <t>RDO SERVICE EMOGAS + CAPILLARI + TRAPPOLE LOTTO 1</t>
  </si>
  <si>
    <t>A. DE MORI S.P.A.</t>
  </si>
  <si>
    <t>05/07/2016</t>
  </si>
  <si>
    <t>RDO SERVICE EMOGAS + CAPILLARI + TRAPPOLE LOTTO 2</t>
  </si>
  <si>
    <t>RDO SERVICE EMOGAS + CAPILLARI + TRAPPOLE LOTTO 3</t>
  </si>
  <si>
    <t>LOTTO NON AGGIUDICATO: NESSUN PRODOTTO CONFORME</t>
  </si>
  <si>
    <t>RDO SERVICE EMOGAS + CAPILLARI + TRAPPOLE LOTTO 4</t>
  </si>
  <si>
    <t xml:space="preserve">rinnovo servizi di convalida  processi di sterilizzazione </t>
  </si>
  <si>
    <t>STERITEK S.P.A.</t>
  </si>
  <si>
    <t>servizio manutenzione lavapadelle AT-OS</t>
  </si>
  <si>
    <t>AT-OS SRL</t>
  </si>
  <si>
    <t>13/12/2016</t>
  </si>
  <si>
    <t>SERVIZIO DI MANUTENZIONE ORDINARIA E STRAORDINARIA PER STERILIZZATRICI AD ACIDO PERACETICO STERIS SYSTEM 1</t>
  </si>
  <si>
    <t>STERIS</t>
  </si>
  <si>
    <t>25/11/2016</t>
  </si>
  <si>
    <t>SERVIZIO AGGIORNAMENTO TECNOLOGICO DELLE ATTREZZATURE DI FOTORIPRODUZIONE SISTEMA PER STAMPA DIGITALE DEL CENTRO STAMPA UNIFICATO AUSL E AOU BO</t>
  </si>
  <si>
    <t>30/06/2017</t>
  </si>
  <si>
    <t>GESTIONE BAR DELLO IOR</t>
  </si>
  <si>
    <t>SIRIO SPA</t>
  </si>
  <si>
    <t>15/03/2017</t>
  </si>
  <si>
    <t>14/03/2020</t>
  </si>
  <si>
    <t>29/09/2016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</si>
</sst>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40"/>
  <sheetViews>
    <sheetView tabSelected="1" workbookViewId="0" topLeftCell="A16">
      <selection activeCell="A1" sqref="A1"/>
    </sheetView>
  </sheetViews>
  <sheetFormatPr defaultColWidth="12.57421875" defaultRowHeight="12.75"/>
  <cols>
    <col min="1" max="1" width="12.421875" style="0" customWidth="1"/>
    <col min="2" max="2" width="30.00390625" style="0" customWidth="1"/>
    <col min="3" max="3" width="31.140625" style="0" customWidth="1"/>
    <col min="4" max="4" width="23.140625" style="0" customWidth="1"/>
    <col min="5" max="5" width="256.00390625" style="0" customWidth="1"/>
    <col min="6" max="6" width="76.00390625" style="0" customWidth="1"/>
    <col min="7" max="7" width="24.8515625" style="0" customWidth="1"/>
    <col min="8" max="8" width="29.140625" style="0" customWidth="1"/>
    <col min="9" max="9" width="82.421875" style="0" customWidth="1"/>
    <col min="10" max="10" width="70.57421875" style="0" customWidth="1"/>
    <col min="11" max="11" width="16.00390625" style="0" customWidth="1"/>
    <col min="12" max="12" width="19.8515625" style="0" customWidth="1"/>
    <col min="13" max="13" width="17.57421875" style="0" customWidth="1"/>
    <col min="14" max="14" width="21.57421875" style="0" customWidth="1"/>
    <col min="15" max="15" width="32.28125" style="0" customWidth="1"/>
    <col min="16" max="16" width="22.7109375" style="0" customWidth="1"/>
    <col min="17" max="17" width="19.28125" style="0" customWidth="1"/>
    <col min="18" max="18" width="20.7109375" style="0" customWidth="1"/>
    <col min="19" max="19" width="31.421875" style="0" customWidth="1"/>
    <col min="20" max="20" width="25.140625" style="0" customWidth="1"/>
    <col min="21" max="21" width="13.57421875" style="0" customWidth="1"/>
    <col min="22" max="22" width="13.421875" style="0" customWidth="1"/>
    <col min="23" max="23" width="6.7109375" style="0" customWidth="1"/>
    <col min="24" max="24" width="19.421875" style="0" customWidth="1"/>
    <col min="25" max="25" width="20.28125" style="0" customWidth="1"/>
    <col min="26" max="26" width="14.00390625" style="0" customWidth="1"/>
    <col min="27" max="27" width="17.28125" style="0" customWidth="1"/>
    <col min="28" max="28" width="15.8515625" style="0" customWidth="1"/>
    <col min="29" max="29" width="17.28125" style="0" customWidth="1"/>
    <col min="30" max="30" width="256.00390625" style="0" customWidth="1"/>
    <col min="31" max="16384" width="11.57421875" style="0" customWidth="1"/>
  </cols>
  <sheetData>
    <row r="1" spans="1:3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2.75">
      <c r="A2" t="str">
        <f>"653048892C"</f>
        <v>653048892C</v>
      </c>
      <c r="B2" t="str">
        <f>"02406911202"</f>
        <v>02406911202</v>
      </c>
      <c r="C2" t="s">
        <v>13</v>
      </c>
      <c r="D2" t="s">
        <v>30</v>
      </c>
      <c r="E2" t="s">
        <v>31</v>
      </c>
      <c r="F2" t="s">
        <v>32</v>
      </c>
      <c r="G2" t="str">
        <f>"01814170047"</f>
        <v>01814170047</v>
      </c>
      <c r="I2" t="s">
        <v>33</v>
      </c>
      <c r="L2" t="s">
        <v>34</v>
      </c>
      <c r="M2">
        <v>82600</v>
      </c>
      <c r="P2">
        <v>82600</v>
      </c>
      <c r="AC2" t="s">
        <v>35</v>
      </c>
      <c r="AD2" t="s">
        <v>36</v>
      </c>
    </row>
    <row r="3" spans="1:29" ht="12.75">
      <c r="A3" t="str">
        <f>"65291297B1"</f>
        <v>65291297B1</v>
      </c>
      <c r="B3" t="str">
        <f>"02406911202"</f>
        <v>02406911202</v>
      </c>
      <c r="C3" t="s">
        <v>13</v>
      </c>
      <c r="D3" t="s">
        <v>30</v>
      </c>
      <c r="E3" t="s">
        <v>37</v>
      </c>
      <c r="F3" t="s">
        <v>32</v>
      </c>
      <c r="G3" t="str">
        <f>"09291850155"</f>
        <v>09291850155</v>
      </c>
      <c r="I3" t="s">
        <v>38</v>
      </c>
      <c r="L3" t="s">
        <v>34</v>
      </c>
      <c r="M3">
        <v>369300</v>
      </c>
      <c r="N3">
        <v>87000</v>
      </c>
      <c r="O3">
        <v>200400</v>
      </c>
      <c r="P3">
        <v>81900</v>
      </c>
      <c r="AA3" t="s">
        <v>39</v>
      </c>
      <c r="AB3" t="s">
        <v>40</v>
      </c>
      <c r="AC3" t="s">
        <v>41</v>
      </c>
    </row>
    <row r="4" spans="1:29" ht="12.75">
      <c r="A4" t="str">
        <f>"657279278A"</f>
        <v>657279278A</v>
      </c>
      <c r="B4" t="str">
        <f>"02406911202"</f>
        <v>02406911202</v>
      </c>
      <c r="C4" t="s">
        <v>13</v>
      </c>
      <c r="D4" t="s">
        <v>30</v>
      </c>
      <c r="E4" t="s">
        <v>42</v>
      </c>
      <c r="F4" t="s">
        <v>32</v>
      </c>
      <c r="G4" t="str">
        <f>"08641790152"</f>
        <v>08641790152</v>
      </c>
      <c r="I4" t="s">
        <v>43</v>
      </c>
      <c r="L4" t="s">
        <v>34</v>
      </c>
      <c r="M4">
        <v>350079</v>
      </c>
      <c r="N4">
        <v>99750</v>
      </c>
      <c r="O4">
        <v>95325</v>
      </c>
      <c r="S4">
        <v>155004</v>
      </c>
      <c r="AC4" t="s">
        <v>44</v>
      </c>
    </row>
    <row r="5" spans="1:29" ht="12.75">
      <c r="A5" t="str">
        <f>"6622146FBD"</f>
        <v>6622146FBD</v>
      </c>
      <c r="B5" t="str">
        <f>"02406911202"</f>
        <v>02406911202</v>
      </c>
      <c r="C5" t="s">
        <v>13</v>
      </c>
      <c r="D5" t="s">
        <v>30</v>
      </c>
      <c r="E5" t="s">
        <v>45</v>
      </c>
      <c r="F5" t="s">
        <v>46</v>
      </c>
      <c r="G5" t="str">
        <f>"02083170429"</f>
        <v>02083170429</v>
      </c>
      <c r="I5" t="s">
        <v>47</v>
      </c>
      <c r="L5" t="s">
        <v>34</v>
      </c>
      <c r="M5">
        <v>132684</v>
      </c>
      <c r="Q5">
        <v>132684</v>
      </c>
      <c r="AC5" t="s">
        <v>48</v>
      </c>
    </row>
    <row r="6" spans="1:29" ht="12.75">
      <c r="A6" t="str">
        <f>"6651336819"</f>
        <v>6651336819</v>
      </c>
      <c r="B6" t="str">
        <f>"02406911202"</f>
        <v>02406911202</v>
      </c>
      <c r="C6" t="s">
        <v>13</v>
      </c>
      <c r="D6" t="s">
        <v>30</v>
      </c>
      <c r="E6" t="s">
        <v>49</v>
      </c>
      <c r="F6" t="s">
        <v>46</v>
      </c>
      <c r="G6" t="str">
        <f>"00881470249"</f>
        <v>00881470249</v>
      </c>
      <c r="I6" t="s">
        <v>50</v>
      </c>
      <c r="L6" t="s">
        <v>34</v>
      </c>
      <c r="M6">
        <v>65095.88</v>
      </c>
      <c r="O6">
        <v>65095.88</v>
      </c>
      <c r="AC6" t="s">
        <v>51</v>
      </c>
    </row>
    <row r="7" spans="1:29" ht="12.75">
      <c r="A7" t="str">
        <f>"665127883C"</f>
        <v>665127883C</v>
      </c>
      <c r="B7" t="str">
        <f>"02406911202"</f>
        <v>02406911202</v>
      </c>
      <c r="C7" t="s">
        <v>13</v>
      </c>
      <c r="D7" t="s">
        <v>30</v>
      </c>
      <c r="E7" t="s">
        <v>52</v>
      </c>
      <c r="F7" t="s">
        <v>46</v>
      </c>
      <c r="G7" t="str">
        <f>"02129190373"</f>
        <v>02129190373</v>
      </c>
      <c r="I7" t="s">
        <v>53</v>
      </c>
      <c r="L7" t="s">
        <v>34</v>
      </c>
      <c r="M7">
        <v>91106.26</v>
      </c>
      <c r="O7">
        <v>91106.26</v>
      </c>
      <c r="AC7" t="s">
        <v>51</v>
      </c>
    </row>
    <row r="8" spans="1:29" ht="12.75">
      <c r="A8" t="str">
        <f>"6651379B94"</f>
        <v>6651379B94</v>
      </c>
      <c r="B8" t="str">
        <f>"02406911202"</f>
        <v>02406911202</v>
      </c>
      <c r="C8" t="s">
        <v>13</v>
      </c>
      <c r="D8" t="s">
        <v>30</v>
      </c>
      <c r="E8" t="s">
        <v>54</v>
      </c>
      <c r="F8" t="s">
        <v>46</v>
      </c>
      <c r="G8" t="str">
        <f>"01291370201"</f>
        <v>01291370201</v>
      </c>
      <c r="I8" t="s">
        <v>55</v>
      </c>
      <c r="L8" t="s">
        <v>34</v>
      </c>
      <c r="M8">
        <v>42150.02</v>
      </c>
      <c r="O8">
        <v>42150.02</v>
      </c>
      <c r="AC8" t="s">
        <v>51</v>
      </c>
    </row>
    <row r="9" spans="1:29" ht="12.75">
      <c r="A9" t="str">
        <f>"6674662952"</f>
        <v>6674662952</v>
      </c>
      <c r="B9" t="str">
        <f>"02406911202"</f>
        <v>02406911202</v>
      </c>
      <c r="C9" t="s">
        <v>13</v>
      </c>
      <c r="D9" t="s">
        <v>30</v>
      </c>
      <c r="E9" t="s">
        <v>56</v>
      </c>
      <c r="F9" t="s">
        <v>46</v>
      </c>
      <c r="G9" t="str">
        <f>"00538680372"</f>
        <v>00538680372</v>
      </c>
      <c r="I9" t="s">
        <v>57</v>
      </c>
      <c r="J9" t="s">
        <v>58</v>
      </c>
      <c r="K9" t="s">
        <v>59</v>
      </c>
      <c r="AC9" t="s">
        <v>60</v>
      </c>
    </row>
    <row r="10" spans="1:29" ht="12.75">
      <c r="A10" t="str">
        <f>"6674662952"</f>
        <v>6674662952</v>
      </c>
      <c r="B10" t="str">
        <f>"02406911202"</f>
        <v>02406911202</v>
      </c>
      <c r="C10" t="s">
        <v>13</v>
      </c>
      <c r="D10" t="s">
        <v>30</v>
      </c>
      <c r="E10" t="s">
        <v>56</v>
      </c>
      <c r="F10" t="s">
        <v>46</v>
      </c>
      <c r="G10" t="str">
        <f>"03320270162"</f>
        <v>03320270162</v>
      </c>
      <c r="I10" t="s">
        <v>61</v>
      </c>
      <c r="J10" t="s">
        <v>58</v>
      </c>
      <c r="K10" t="s">
        <v>62</v>
      </c>
      <c r="AC10" t="s">
        <v>60</v>
      </c>
    </row>
    <row r="11" spans="1:29" ht="12.75">
      <c r="A11" t="str">
        <f>"6674662952"</f>
        <v>6674662952</v>
      </c>
      <c r="B11" t="str">
        <f>"02406911202"</f>
        <v>02406911202</v>
      </c>
      <c r="C11" t="s">
        <v>13</v>
      </c>
      <c r="D11" t="s">
        <v>30</v>
      </c>
      <c r="E11" t="s">
        <v>56</v>
      </c>
      <c r="F11" t="s">
        <v>46</v>
      </c>
      <c r="G11" t="str">
        <f>"00311310379"</f>
        <v>00311310379</v>
      </c>
      <c r="I11" t="s">
        <v>63</v>
      </c>
      <c r="J11" t="s">
        <v>58</v>
      </c>
      <c r="K11" t="s">
        <v>62</v>
      </c>
      <c r="AC11" t="s">
        <v>60</v>
      </c>
    </row>
    <row r="12" spans="1:29" ht="12.75">
      <c r="A12" t="str">
        <f>"6674662952"</f>
        <v>6674662952</v>
      </c>
      <c r="B12" t="str">
        <f>"02406911202"</f>
        <v>02406911202</v>
      </c>
      <c r="C12" t="s">
        <v>13</v>
      </c>
      <c r="D12" t="s">
        <v>30</v>
      </c>
      <c r="E12" t="s">
        <v>56</v>
      </c>
      <c r="F12" t="s">
        <v>46</v>
      </c>
      <c r="I12" t="s">
        <v>58</v>
      </c>
      <c r="L12" t="s">
        <v>34</v>
      </c>
      <c r="M12">
        <v>2485494</v>
      </c>
      <c r="N12">
        <v>2173494</v>
      </c>
      <c r="P12">
        <v>312000</v>
      </c>
      <c r="AA12" t="s">
        <v>39</v>
      </c>
      <c r="AB12" t="s">
        <v>40</v>
      </c>
      <c r="AC12" t="s">
        <v>60</v>
      </c>
    </row>
    <row r="13" spans="1:29" ht="12.75">
      <c r="A13" t="str">
        <f>"668051468C"</f>
        <v>668051468C</v>
      </c>
      <c r="B13" t="str">
        <f>"02406911202"</f>
        <v>02406911202</v>
      </c>
      <c r="C13" t="s">
        <v>13</v>
      </c>
      <c r="D13" t="s">
        <v>30</v>
      </c>
      <c r="E13" t="s">
        <v>64</v>
      </c>
      <c r="F13" t="s">
        <v>32</v>
      </c>
      <c r="G13" t="str">
        <f>"11206730159"</f>
        <v>11206730159</v>
      </c>
      <c r="I13" t="s">
        <v>65</v>
      </c>
      <c r="L13" t="s">
        <v>34</v>
      </c>
      <c r="M13">
        <v>51800</v>
      </c>
      <c r="Z13">
        <v>5700</v>
      </c>
      <c r="AA13" t="s">
        <v>66</v>
      </c>
      <c r="AB13" t="s">
        <v>67</v>
      </c>
      <c r="AC13" t="s">
        <v>66</v>
      </c>
    </row>
    <row r="14" spans="1:29" ht="12.75">
      <c r="A14" t="str">
        <f>"6680523DF7"</f>
        <v>6680523DF7</v>
      </c>
      <c r="B14" t="str">
        <f>"02406911202"</f>
        <v>02406911202</v>
      </c>
      <c r="C14" t="s">
        <v>13</v>
      </c>
      <c r="D14" t="s">
        <v>30</v>
      </c>
      <c r="E14" t="s">
        <v>68</v>
      </c>
      <c r="F14" t="s">
        <v>32</v>
      </c>
      <c r="G14" t="str">
        <f>"08082461008"</f>
        <v>08082461008</v>
      </c>
      <c r="I14" t="s">
        <v>69</v>
      </c>
      <c r="L14" t="s">
        <v>34</v>
      </c>
      <c r="M14">
        <v>104500</v>
      </c>
      <c r="Z14">
        <v>39200</v>
      </c>
      <c r="AA14" t="s">
        <v>66</v>
      </c>
      <c r="AB14" t="s">
        <v>67</v>
      </c>
      <c r="AC14" t="s">
        <v>66</v>
      </c>
    </row>
    <row r="15" spans="1:29" ht="12.75">
      <c r="A15" t="str">
        <f>"6680531494"</f>
        <v>6680531494</v>
      </c>
      <c r="B15" t="str">
        <f>"02406911202"</f>
        <v>02406911202</v>
      </c>
      <c r="C15" t="s">
        <v>13</v>
      </c>
      <c r="D15" t="s">
        <v>30</v>
      </c>
      <c r="E15" t="s">
        <v>70</v>
      </c>
      <c r="F15" t="s">
        <v>32</v>
      </c>
      <c r="G15" t="str">
        <f>"11206730159"</f>
        <v>11206730159</v>
      </c>
      <c r="I15" t="s">
        <v>65</v>
      </c>
      <c r="L15" t="s">
        <v>34</v>
      </c>
      <c r="M15">
        <v>173900</v>
      </c>
      <c r="Z15">
        <v>51080</v>
      </c>
      <c r="AA15" t="s">
        <v>66</v>
      </c>
      <c r="AB15" t="s">
        <v>67</v>
      </c>
      <c r="AC15" t="s">
        <v>66</v>
      </c>
    </row>
    <row r="16" spans="1:29" ht="12.75">
      <c r="A16" t="str">
        <f>"66805460F6"</f>
        <v>66805460F6</v>
      </c>
      <c r="B16" t="str">
        <f>"02406911202"</f>
        <v>02406911202</v>
      </c>
      <c r="C16" t="s">
        <v>13</v>
      </c>
      <c r="D16" t="s">
        <v>30</v>
      </c>
      <c r="E16" t="s">
        <v>71</v>
      </c>
      <c r="F16" t="s">
        <v>32</v>
      </c>
      <c r="G16" t="str">
        <f>"09238800156"</f>
        <v>09238800156</v>
      </c>
      <c r="I16" t="s">
        <v>72</v>
      </c>
      <c r="L16" t="s">
        <v>34</v>
      </c>
      <c r="M16">
        <v>40956</v>
      </c>
      <c r="AA16" t="s">
        <v>66</v>
      </c>
      <c r="AB16" t="s">
        <v>67</v>
      </c>
      <c r="AC16" t="s">
        <v>66</v>
      </c>
    </row>
    <row r="17" spans="1:29" ht="12.75">
      <c r="A17" t="str">
        <f>"6680555861"</f>
        <v>6680555861</v>
      </c>
      <c r="B17" t="str">
        <f>"02406911202"</f>
        <v>02406911202</v>
      </c>
      <c r="C17" t="s">
        <v>13</v>
      </c>
      <c r="D17" t="s">
        <v>30</v>
      </c>
      <c r="E17" t="s">
        <v>73</v>
      </c>
      <c r="F17" t="s">
        <v>32</v>
      </c>
      <c r="G17" t="str">
        <f>"01835220482"</f>
        <v>01835220482</v>
      </c>
      <c r="I17" t="s">
        <v>74</v>
      </c>
      <c r="L17" t="s">
        <v>34</v>
      </c>
      <c r="M17">
        <v>6076</v>
      </c>
      <c r="AA17" t="s">
        <v>66</v>
      </c>
      <c r="AB17" t="s">
        <v>67</v>
      </c>
      <c r="AC17" t="s">
        <v>66</v>
      </c>
    </row>
    <row r="18" spans="1:29" ht="12.75">
      <c r="A18" t="str">
        <f>"6680560C80"</f>
        <v>6680560C80</v>
      </c>
      <c r="B18" t="str">
        <f>"02406911202"</f>
        <v>02406911202</v>
      </c>
      <c r="C18" t="s">
        <v>13</v>
      </c>
      <c r="D18" t="s">
        <v>30</v>
      </c>
      <c r="E18" t="s">
        <v>75</v>
      </c>
      <c r="F18" t="s">
        <v>32</v>
      </c>
      <c r="G18" t="str">
        <f>"11264670156"</f>
        <v>11264670156</v>
      </c>
      <c r="I18" t="s">
        <v>76</v>
      </c>
      <c r="L18" t="s">
        <v>34</v>
      </c>
      <c r="M18">
        <v>196129.5</v>
      </c>
      <c r="Z18">
        <v>46155</v>
      </c>
      <c r="AA18" t="s">
        <v>66</v>
      </c>
      <c r="AB18" t="s">
        <v>67</v>
      </c>
      <c r="AC18" t="s">
        <v>66</v>
      </c>
    </row>
    <row r="19" spans="1:29" ht="12.75">
      <c r="A19" t="str">
        <f>"668627697F"</f>
        <v>668627697F</v>
      </c>
      <c r="B19" t="str">
        <f>"02406911202"</f>
        <v>02406911202</v>
      </c>
      <c r="C19" t="s">
        <v>13</v>
      </c>
      <c r="D19" t="s">
        <v>30</v>
      </c>
      <c r="E19" t="s">
        <v>77</v>
      </c>
      <c r="F19" t="s">
        <v>78</v>
      </c>
      <c r="G19" t="str">
        <f>"06070001000"</f>
        <v>06070001000</v>
      </c>
      <c r="I19" t="s">
        <v>79</v>
      </c>
      <c r="L19" t="s">
        <v>34</v>
      </c>
      <c r="M19">
        <v>50820</v>
      </c>
      <c r="N19">
        <v>15420</v>
      </c>
      <c r="O19">
        <v>35400</v>
      </c>
      <c r="Z19">
        <v>5940</v>
      </c>
      <c r="AA19" t="s">
        <v>80</v>
      </c>
      <c r="AB19" t="s">
        <v>81</v>
      </c>
      <c r="AC19" t="s">
        <v>82</v>
      </c>
    </row>
    <row r="20" spans="1:29" ht="12.75">
      <c r="A20" t="str">
        <f>"662971992F"</f>
        <v>662971992F</v>
      </c>
      <c r="B20" t="str">
        <f>"02406911202"</f>
        <v>02406911202</v>
      </c>
      <c r="C20" t="s">
        <v>13</v>
      </c>
      <c r="D20" t="s">
        <v>30</v>
      </c>
      <c r="E20" t="s">
        <v>83</v>
      </c>
      <c r="F20" t="s">
        <v>32</v>
      </c>
      <c r="G20" t="str">
        <f>"09058160152"</f>
        <v>09058160152</v>
      </c>
      <c r="I20" t="s">
        <v>84</v>
      </c>
      <c r="L20" t="s">
        <v>34</v>
      </c>
      <c r="M20">
        <v>152421.57</v>
      </c>
      <c r="Q20">
        <v>152421.57</v>
      </c>
      <c r="AA20" t="s">
        <v>41</v>
      </c>
      <c r="AB20" t="s">
        <v>85</v>
      </c>
      <c r="AC20" t="s">
        <v>86</v>
      </c>
    </row>
    <row r="21" spans="1:29" ht="12.75">
      <c r="A21" t="str">
        <f>"6625263BF9"</f>
        <v>6625263BF9</v>
      </c>
      <c r="B21" t="str">
        <f>"02406911202"</f>
        <v>02406911202</v>
      </c>
      <c r="C21" t="s">
        <v>13</v>
      </c>
      <c r="D21" t="s">
        <v>30</v>
      </c>
      <c r="E21" t="s">
        <v>87</v>
      </c>
      <c r="F21" t="s">
        <v>32</v>
      </c>
      <c r="G21" t="str">
        <f>"04127270157"</f>
        <v>04127270157</v>
      </c>
      <c r="I21" t="s">
        <v>88</v>
      </c>
      <c r="L21" t="s">
        <v>34</v>
      </c>
      <c r="M21">
        <v>24973</v>
      </c>
      <c r="O21">
        <v>24973</v>
      </c>
      <c r="AC21" t="s">
        <v>89</v>
      </c>
    </row>
    <row r="22" spans="1:29" ht="12.75">
      <c r="A22" t="str">
        <f>"6625263BF9"</f>
        <v>6625263BF9</v>
      </c>
      <c r="B22" t="str">
        <f>"02406911202"</f>
        <v>02406911202</v>
      </c>
      <c r="C22" t="s">
        <v>13</v>
      </c>
      <c r="D22" t="s">
        <v>30</v>
      </c>
      <c r="E22" t="s">
        <v>87</v>
      </c>
      <c r="F22" t="s">
        <v>32</v>
      </c>
      <c r="G22" t="str">
        <f>"03891970968"</f>
        <v>03891970968</v>
      </c>
      <c r="I22" t="s">
        <v>90</v>
      </c>
      <c r="L22" t="s">
        <v>91</v>
      </c>
      <c r="AC22" t="s">
        <v>89</v>
      </c>
    </row>
    <row r="23" spans="1:29" ht="12.75">
      <c r="A23" t="str">
        <f>"6625263BF9"</f>
        <v>6625263BF9</v>
      </c>
      <c r="B23" t="str">
        <f>"02406911202"</f>
        <v>02406911202</v>
      </c>
      <c r="C23" t="s">
        <v>13</v>
      </c>
      <c r="D23" t="s">
        <v>30</v>
      </c>
      <c r="E23" t="s">
        <v>87</v>
      </c>
      <c r="F23" t="s">
        <v>32</v>
      </c>
      <c r="G23" t="str">
        <f>"00725050157"</f>
        <v>00725050157</v>
      </c>
      <c r="I23" t="s">
        <v>92</v>
      </c>
      <c r="L23" t="s">
        <v>91</v>
      </c>
      <c r="AC23" t="s">
        <v>89</v>
      </c>
    </row>
    <row r="24" spans="1:29" ht="12.75">
      <c r="A24" t="str">
        <f>"6625263BF9"</f>
        <v>6625263BF9</v>
      </c>
      <c r="B24" t="str">
        <f>"02406911202"</f>
        <v>02406911202</v>
      </c>
      <c r="C24" t="s">
        <v>13</v>
      </c>
      <c r="D24" t="s">
        <v>30</v>
      </c>
      <c r="E24" t="s">
        <v>87</v>
      </c>
      <c r="F24" t="s">
        <v>32</v>
      </c>
      <c r="G24" t="str">
        <f>"00615700374"</f>
        <v>00615700374</v>
      </c>
      <c r="I24" t="s">
        <v>93</v>
      </c>
      <c r="L24" t="s">
        <v>91</v>
      </c>
      <c r="AC24" t="s">
        <v>89</v>
      </c>
    </row>
    <row r="25" spans="1:29" ht="12.75">
      <c r="A25" t="str">
        <f>"6625263BF9"</f>
        <v>6625263BF9</v>
      </c>
      <c r="B25" t="str">
        <f>"02406911202"</f>
        <v>02406911202</v>
      </c>
      <c r="C25" t="s">
        <v>13</v>
      </c>
      <c r="D25" t="s">
        <v>30</v>
      </c>
      <c r="E25" t="s">
        <v>87</v>
      </c>
      <c r="F25" t="s">
        <v>32</v>
      </c>
      <c r="G25" t="str">
        <f>"02481080964"</f>
        <v>02481080964</v>
      </c>
      <c r="I25" t="s">
        <v>94</v>
      </c>
      <c r="L25" t="s">
        <v>91</v>
      </c>
      <c r="AC25" t="s">
        <v>89</v>
      </c>
    </row>
    <row r="26" spans="1:29" ht="12.75">
      <c r="A26" t="str">
        <f>"6700686D00"</f>
        <v>6700686D00</v>
      </c>
      <c r="B26" t="str">
        <f>"02406911202"</f>
        <v>02406911202</v>
      </c>
      <c r="C26" t="s">
        <v>13</v>
      </c>
      <c r="D26" t="s">
        <v>30</v>
      </c>
      <c r="E26" t="s">
        <v>95</v>
      </c>
      <c r="F26" t="s">
        <v>78</v>
      </c>
      <c r="G26" t="str">
        <f>"05688870483"</f>
        <v>05688870483</v>
      </c>
      <c r="I26" t="s">
        <v>96</v>
      </c>
      <c r="L26" t="s">
        <v>34</v>
      </c>
      <c r="M26">
        <v>78136.77</v>
      </c>
      <c r="N26">
        <v>44800</v>
      </c>
      <c r="O26">
        <v>22596.77</v>
      </c>
      <c r="Q26">
        <v>10740</v>
      </c>
      <c r="AA26" t="s">
        <v>97</v>
      </c>
      <c r="AB26" t="s">
        <v>98</v>
      </c>
      <c r="AC26" t="s">
        <v>99</v>
      </c>
    </row>
    <row r="27" spans="1:29" ht="12.75">
      <c r="A27" t="str">
        <f>"66551768F7"</f>
        <v>66551768F7</v>
      </c>
      <c r="B27" t="str">
        <f>"02406911202"</f>
        <v>02406911202</v>
      </c>
      <c r="C27" t="s">
        <v>13</v>
      </c>
      <c r="D27" t="s">
        <v>30</v>
      </c>
      <c r="E27" t="s">
        <v>100</v>
      </c>
      <c r="F27" t="s">
        <v>32</v>
      </c>
      <c r="G27" t="str">
        <f>"13144290155"</f>
        <v>13144290155</v>
      </c>
      <c r="I27" t="s">
        <v>101</v>
      </c>
      <c r="L27" t="s">
        <v>34</v>
      </c>
      <c r="M27">
        <v>203922</v>
      </c>
      <c r="O27">
        <v>203922</v>
      </c>
      <c r="AC27" t="s">
        <v>102</v>
      </c>
    </row>
    <row r="28" spans="1:29" ht="12.75">
      <c r="A28" t="str">
        <f>"66551768F7"</f>
        <v>66551768F7</v>
      </c>
      <c r="B28" t="str">
        <f>"02406911202"</f>
        <v>02406911202</v>
      </c>
      <c r="C28" t="s">
        <v>13</v>
      </c>
      <c r="D28" t="s">
        <v>30</v>
      </c>
      <c r="E28" t="s">
        <v>100</v>
      </c>
      <c r="F28" t="s">
        <v>32</v>
      </c>
      <c r="G28" t="str">
        <f>"10181220152"</f>
        <v>10181220152</v>
      </c>
      <c r="I28" t="s">
        <v>103</v>
      </c>
      <c r="L28" t="s">
        <v>91</v>
      </c>
      <c r="AC28" t="s">
        <v>102</v>
      </c>
    </row>
    <row r="29" spans="1:29" ht="12.75">
      <c r="A29" t="str">
        <f>"66551768F7"</f>
        <v>66551768F7</v>
      </c>
      <c r="B29" t="str">
        <f>"02406911202"</f>
        <v>02406911202</v>
      </c>
      <c r="C29" t="s">
        <v>13</v>
      </c>
      <c r="D29" t="s">
        <v>30</v>
      </c>
      <c r="E29" t="s">
        <v>100</v>
      </c>
      <c r="F29" t="s">
        <v>32</v>
      </c>
      <c r="G29" t="str">
        <f>"00076670595"</f>
        <v>00076670595</v>
      </c>
      <c r="I29" t="s">
        <v>104</v>
      </c>
      <c r="L29" t="s">
        <v>91</v>
      </c>
      <c r="AC29" t="s">
        <v>102</v>
      </c>
    </row>
    <row r="30" spans="1:29" ht="12.75">
      <c r="A30" t="str">
        <f>"66551768F7"</f>
        <v>66551768F7</v>
      </c>
      <c r="B30" t="str">
        <f>"02406911202"</f>
        <v>02406911202</v>
      </c>
      <c r="C30" t="s">
        <v>13</v>
      </c>
      <c r="D30" t="s">
        <v>30</v>
      </c>
      <c r="E30" t="s">
        <v>100</v>
      </c>
      <c r="F30" t="s">
        <v>32</v>
      </c>
      <c r="G30" t="str">
        <f>"02774840595"</f>
        <v>02774840595</v>
      </c>
      <c r="I30" t="s">
        <v>105</v>
      </c>
      <c r="L30" t="s">
        <v>91</v>
      </c>
      <c r="AC30" t="s">
        <v>102</v>
      </c>
    </row>
    <row r="31" spans="1:29" ht="12.75">
      <c r="A31" t="str">
        <f>"66551768F7"</f>
        <v>66551768F7</v>
      </c>
      <c r="B31" t="str">
        <f>"02406911202"</f>
        <v>02406911202</v>
      </c>
      <c r="C31" t="s">
        <v>13</v>
      </c>
      <c r="D31" t="s">
        <v>30</v>
      </c>
      <c r="E31" t="s">
        <v>100</v>
      </c>
      <c r="F31" t="s">
        <v>32</v>
      </c>
      <c r="G31" t="str">
        <f>"91155450371"</f>
        <v>91155450371</v>
      </c>
      <c r="I31" t="s">
        <v>106</v>
      </c>
      <c r="L31" t="s">
        <v>91</v>
      </c>
      <c r="AC31" t="s">
        <v>102</v>
      </c>
    </row>
    <row r="32" spans="1:29" ht="12.75">
      <c r="A32" t="str">
        <f>"65868020F7"</f>
        <v>65868020F7</v>
      </c>
      <c r="B32" t="str">
        <f>"02406911202"</f>
        <v>02406911202</v>
      </c>
      <c r="C32" t="s">
        <v>13</v>
      </c>
      <c r="D32" t="s">
        <v>30</v>
      </c>
      <c r="E32" t="s">
        <v>107</v>
      </c>
      <c r="F32" t="s">
        <v>46</v>
      </c>
      <c r="G32" t="str">
        <f>"00967720285"</f>
        <v>00967720285</v>
      </c>
      <c r="I32" t="s">
        <v>108</v>
      </c>
      <c r="L32" t="s">
        <v>34</v>
      </c>
      <c r="M32">
        <v>503726.5</v>
      </c>
      <c r="P32">
        <v>503726.5</v>
      </c>
      <c r="AC32" t="s">
        <v>109</v>
      </c>
    </row>
    <row r="33" spans="1:29" ht="12.75">
      <c r="A33" t="str">
        <f>"6685281467"</f>
        <v>6685281467</v>
      </c>
      <c r="B33" t="str">
        <f>"02406911202"</f>
        <v>02406911202</v>
      </c>
      <c r="C33" t="s">
        <v>13</v>
      </c>
      <c r="D33" t="s">
        <v>30</v>
      </c>
      <c r="E33" t="s">
        <v>110</v>
      </c>
      <c r="F33" t="s">
        <v>32</v>
      </c>
      <c r="G33" t="str">
        <f>"01803850401"</f>
        <v>01803850401</v>
      </c>
      <c r="I33" t="s">
        <v>111</v>
      </c>
      <c r="L33" t="s">
        <v>34</v>
      </c>
      <c r="M33">
        <v>49826.65</v>
      </c>
      <c r="O33">
        <v>17977.05</v>
      </c>
      <c r="Q33">
        <v>31849.6</v>
      </c>
      <c r="AC33" t="s">
        <v>109</v>
      </c>
    </row>
    <row r="34" spans="1:29" ht="12.75">
      <c r="A34" t="str">
        <f>"6685281467"</f>
        <v>6685281467</v>
      </c>
      <c r="B34" t="str">
        <f>"02406911202"</f>
        <v>02406911202</v>
      </c>
      <c r="C34" t="s">
        <v>13</v>
      </c>
      <c r="D34" t="s">
        <v>30</v>
      </c>
      <c r="E34" t="s">
        <v>110</v>
      </c>
      <c r="F34" t="s">
        <v>32</v>
      </c>
      <c r="G34" t="str">
        <f>"02044780019"</f>
        <v>02044780019</v>
      </c>
      <c r="I34" t="s">
        <v>112</v>
      </c>
      <c r="L34" t="s">
        <v>91</v>
      </c>
      <c r="AC34" t="s">
        <v>109</v>
      </c>
    </row>
    <row r="35" spans="1:29" ht="12.75">
      <c r="A35" t="str">
        <f>"6685281467"</f>
        <v>6685281467</v>
      </c>
      <c r="B35" t="str">
        <f>"02406911202"</f>
        <v>02406911202</v>
      </c>
      <c r="C35" t="s">
        <v>13</v>
      </c>
      <c r="D35" t="s">
        <v>30</v>
      </c>
      <c r="E35" t="s">
        <v>110</v>
      </c>
      <c r="F35" t="s">
        <v>32</v>
      </c>
      <c r="G35" t="str">
        <f>"02019960398"</f>
        <v>02019960398</v>
      </c>
      <c r="I35" t="s">
        <v>113</v>
      </c>
      <c r="L35" t="s">
        <v>91</v>
      </c>
      <c r="AC35" t="s">
        <v>109</v>
      </c>
    </row>
    <row r="36" spans="1:29" ht="12.75">
      <c r="A36" t="str">
        <f>"6685281467"</f>
        <v>6685281467</v>
      </c>
      <c r="B36" t="str">
        <f>"02406911202"</f>
        <v>02406911202</v>
      </c>
      <c r="C36" t="s">
        <v>13</v>
      </c>
      <c r="D36" t="s">
        <v>30</v>
      </c>
      <c r="E36" t="s">
        <v>110</v>
      </c>
      <c r="F36" t="s">
        <v>32</v>
      </c>
      <c r="G36" t="str">
        <f>"12481740152"</f>
        <v>12481740152</v>
      </c>
      <c r="I36" t="s">
        <v>114</v>
      </c>
      <c r="L36" t="s">
        <v>91</v>
      </c>
      <c r="AC36" t="s">
        <v>109</v>
      </c>
    </row>
    <row r="37" spans="1:29" ht="12.75">
      <c r="A37" t="str">
        <f>"6685281467"</f>
        <v>6685281467</v>
      </c>
      <c r="B37" t="str">
        <f>"02406911202"</f>
        <v>02406911202</v>
      </c>
      <c r="C37" t="s">
        <v>13</v>
      </c>
      <c r="D37" t="s">
        <v>30</v>
      </c>
      <c r="E37" t="s">
        <v>110</v>
      </c>
      <c r="F37" t="s">
        <v>32</v>
      </c>
      <c r="G37" t="str">
        <f>"02744080249"</f>
        <v>02744080249</v>
      </c>
      <c r="I37" t="s">
        <v>115</v>
      </c>
      <c r="L37" t="s">
        <v>91</v>
      </c>
      <c r="AC37" t="s">
        <v>109</v>
      </c>
    </row>
    <row r="38" spans="1:29" ht="12.75">
      <c r="A38" t="str">
        <f>"6685281467"</f>
        <v>6685281467</v>
      </c>
      <c r="B38" t="str">
        <f>"02406911202"</f>
        <v>02406911202</v>
      </c>
      <c r="C38" t="s">
        <v>13</v>
      </c>
      <c r="D38" t="s">
        <v>30</v>
      </c>
      <c r="E38" t="s">
        <v>110</v>
      </c>
      <c r="F38" t="s">
        <v>32</v>
      </c>
      <c r="G38" t="str">
        <f>"02300890346"</f>
        <v>02300890346</v>
      </c>
      <c r="I38" t="s">
        <v>116</v>
      </c>
      <c r="L38" t="s">
        <v>91</v>
      </c>
      <c r="AC38" t="s">
        <v>109</v>
      </c>
    </row>
    <row r="39" spans="1:29" ht="12.75">
      <c r="A39" t="str">
        <f>"6685281467"</f>
        <v>6685281467</v>
      </c>
      <c r="B39" t="str">
        <f>"02406911202"</f>
        <v>02406911202</v>
      </c>
      <c r="C39" t="s">
        <v>13</v>
      </c>
      <c r="D39" t="s">
        <v>30</v>
      </c>
      <c r="E39" t="s">
        <v>110</v>
      </c>
      <c r="F39" t="s">
        <v>32</v>
      </c>
      <c r="G39" t="str">
        <f>"02066400405"</f>
        <v>02066400405</v>
      </c>
      <c r="I39" t="s">
        <v>117</v>
      </c>
      <c r="L39" t="s">
        <v>91</v>
      </c>
      <c r="AC39" t="s">
        <v>109</v>
      </c>
    </row>
    <row r="40" spans="1:29" ht="12.75">
      <c r="A40" t="str">
        <f>"6685281467"</f>
        <v>6685281467</v>
      </c>
      <c r="B40" t="str">
        <f>"02406911202"</f>
        <v>02406911202</v>
      </c>
      <c r="C40" t="s">
        <v>13</v>
      </c>
      <c r="D40" t="s">
        <v>30</v>
      </c>
      <c r="E40" t="s">
        <v>110</v>
      </c>
      <c r="F40" t="s">
        <v>32</v>
      </c>
      <c r="G40" t="str">
        <f>"03301640482"</f>
        <v>03301640482</v>
      </c>
      <c r="I40" t="s">
        <v>118</v>
      </c>
      <c r="L40" t="s">
        <v>91</v>
      </c>
      <c r="AC40" t="s">
        <v>109</v>
      </c>
    </row>
    <row r="41" spans="1:29" ht="12.75">
      <c r="A41" t="str">
        <f>"6685281467"</f>
        <v>6685281467</v>
      </c>
      <c r="B41" t="str">
        <f>"02406911202"</f>
        <v>02406911202</v>
      </c>
      <c r="C41" t="s">
        <v>13</v>
      </c>
      <c r="D41" t="s">
        <v>30</v>
      </c>
      <c r="E41" t="s">
        <v>110</v>
      </c>
      <c r="F41" t="s">
        <v>32</v>
      </c>
      <c r="G41" t="str">
        <f>"03878640238"</f>
        <v>03878640238</v>
      </c>
      <c r="I41" t="s">
        <v>119</v>
      </c>
      <c r="L41" t="s">
        <v>91</v>
      </c>
      <c r="AC41" t="s">
        <v>109</v>
      </c>
    </row>
    <row r="42" spans="1:29" ht="12.75">
      <c r="A42" t="str">
        <f>"6670389323"</f>
        <v>6670389323</v>
      </c>
      <c r="B42" t="str">
        <f>"02406911202"</f>
        <v>02406911202</v>
      </c>
      <c r="C42" t="s">
        <v>13</v>
      </c>
      <c r="D42" t="s">
        <v>30</v>
      </c>
      <c r="E42" t="s">
        <v>120</v>
      </c>
      <c r="F42" t="s">
        <v>78</v>
      </c>
      <c r="G42" t="str">
        <f>"02152610784"</f>
        <v>02152610784</v>
      </c>
      <c r="I42" t="s">
        <v>121</v>
      </c>
      <c r="L42" t="s">
        <v>34</v>
      </c>
      <c r="M42">
        <v>120080</v>
      </c>
      <c r="Z42">
        <v>89619.2</v>
      </c>
      <c r="AA42" t="s">
        <v>39</v>
      </c>
      <c r="AB42" t="s">
        <v>122</v>
      </c>
      <c r="AC42" t="s">
        <v>123</v>
      </c>
    </row>
    <row r="43" spans="1:30" ht="12.75">
      <c r="A43" t="str">
        <f>"6699896116"</f>
        <v>6699896116</v>
      </c>
      <c r="B43" t="str">
        <f>"02406911202"</f>
        <v>02406911202</v>
      </c>
      <c r="C43" t="s">
        <v>13</v>
      </c>
      <c r="D43" t="s">
        <v>30</v>
      </c>
      <c r="E43" t="s">
        <v>124</v>
      </c>
      <c r="F43" t="s">
        <v>32</v>
      </c>
      <c r="G43" t="str">
        <f>"02224600276"</f>
        <v>02224600276</v>
      </c>
      <c r="I43" t="s">
        <v>125</v>
      </c>
      <c r="L43" t="s">
        <v>34</v>
      </c>
      <c r="M43">
        <v>781.26</v>
      </c>
      <c r="R43">
        <v>515.63</v>
      </c>
      <c r="S43">
        <v>265.63</v>
      </c>
      <c r="AC43" t="s">
        <v>126</v>
      </c>
      <c r="AD43" t="s">
        <v>127</v>
      </c>
    </row>
    <row r="44" spans="1:30" ht="12.75">
      <c r="A44" t="str">
        <f>"6699901535"</f>
        <v>6699901535</v>
      </c>
      <c r="B44" t="str">
        <f>"02406911202"</f>
        <v>02406911202</v>
      </c>
      <c r="C44" t="s">
        <v>13</v>
      </c>
      <c r="D44" t="s">
        <v>30</v>
      </c>
      <c r="E44" t="s">
        <v>128</v>
      </c>
      <c r="F44" t="s">
        <v>32</v>
      </c>
      <c r="G44" t="str">
        <f>"01257760338"</f>
        <v>01257760338</v>
      </c>
      <c r="I44" t="s">
        <v>129</v>
      </c>
      <c r="L44" t="s">
        <v>34</v>
      </c>
      <c r="M44">
        <v>44372.5</v>
      </c>
      <c r="N44">
        <v>39170.42</v>
      </c>
      <c r="O44">
        <v>5202.08</v>
      </c>
      <c r="AC44" t="s">
        <v>126</v>
      </c>
      <c r="AD44" t="s">
        <v>130</v>
      </c>
    </row>
    <row r="45" spans="1:30" ht="12.75">
      <c r="A45" t="str">
        <f>"6699885800"</f>
        <v>6699885800</v>
      </c>
      <c r="B45" t="str">
        <f>"02406911202"</f>
        <v>02406911202</v>
      </c>
      <c r="C45" t="s">
        <v>13</v>
      </c>
      <c r="D45" t="s">
        <v>30</v>
      </c>
      <c r="E45" t="s">
        <v>131</v>
      </c>
      <c r="F45" t="s">
        <v>32</v>
      </c>
      <c r="G45" t="str">
        <f>"00136740404"</f>
        <v>00136740404</v>
      </c>
      <c r="I45" t="s">
        <v>132</v>
      </c>
      <c r="L45" t="s">
        <v>34</v>
      </c>
      <c r="M45">
        <v>34241.06</v>
      </c>
      <c r="N45">
        <v>4790.63</v>
      </c>
      <c r="O45">
        <v>21346.88</v>
      </c>
      <c r="R45">
        <v>5297.92</v>
      </c>
      <c r="S45">
        <v>2805.63</v>
      </c>
      <c r="AC45" t="s">
        <v>126</v>
      </c>
      <c r="AD45" t="s">
        <v>133</v>
      </c>
    </row>
    <row r="46" spans="1:29" ht="12.75">
      <c r="A46" t="str">
        <f>"6679044976"</f>
        <v>6679044976</v>
      </c>
      <c r="B46" t="str">
        <f>"02406911202"</f>
        <v>02406911202</v>
      </c>
      <c r="C46" t="s">
        <v>13</v>
      </c>
      <c r="D46" t="s">
        <v>30</v>
      </c>
      <c r="E46" t="s">
        <v>134</v>
      </c>
      <c r="F46" t="s">
        <v>32</v>
      </c>
      <c r="G46" t="str">
        <f>"06734220962"</f>
        <v>06734220962</v>
      </c>
      <c r="I46" t="s">
        <v>135</v>
      </c>
      <c r="L46" t="s">
        <v>34</v>
      </c>
      <c r="M46">
        <v>311589.95</v>
      </c>
      <c r="N46">
        <v>257766.95</v>
      </c>
      <c r="O46">
        <v>53823</v>
      </c>
      <c r="AC46" t="s">
        <v>136</v>
      </c>
    </row>
    <row r="47" spans="1:29" ht="12.75">
      <c r="A47" t="str">
        <f>"664974030B"</f>
        <v>664974030B</v>
      </c>
      <c r="B47" t="str">
        <f>"02406911202"</f>
        <v>02406911202</v>
      </c>
      <c r="C47" t="s">
        <v>13</v>
      </c>
      <c r="D47" t="s">
        <v>30</v>
      </c>
      <c r="E47" t="s">
        <v>137</v>
      </c>
      <c r="F47" t="s">
        <v>32</v>
      </c>
      <c r="G47" t="str">
        <f>"08864080158"</f>
        <v>08864080158</v>
      </c>
      <c r="I47" t="s">
        <v>138</v>
      </c>
      <c r="L47" t="s">
        <v>34</v>
      </c>
      <c r="M47">
        <v>390000</v>
      </c>
      <c r="O47">
        <v>390000</v>
      </c>
      <c r="AC47" t="s">
        <v>89</v>
      </c>
    </row>
    <row r="48" spans="1:30" ht="12.75">
      <c r="A48" t="str">
        <f>"670515441F"</f>
        <v>670515441F</v>
      </c>
      <c r="B48" t="str">
        <f>"02406911202"</f>
        <v>02406911202</v>
      </c>
      <c r="C48" t="s">
        <v>13</v>
      </c>
      <c r="D48" t="s">
        <v>30</v>
      </c>
      <c r="E48" t="s">
        <v>139</v>
      </c>
      <c r="F48" t="s">
        <v>32</v>
      </c>
      <c r="G48" t="str">
        <f>"02429470541"</f>
        <v>02429470541</v>
      </c>
      <c r="I48" t="s">
        <v>140</v>
      </c>
      <c r="L48" t="s">
        <v>34</v>
      </c>
      <c r="M48">
        <v>118587</v>
      </c>
      <c r="N48">
        <v>48264.67</v>
      </c>
      <c r="O48">
        <v>8066.67</v>
      </c>
      <c r="P48">
        <v>14668.66</v>
      </c>
      <c r="Q48">
        <v>14174</v>
      </c>
      <c r="R48">
        <v>25213</v>
      </c>
      <c r="S48">
        <v>8200</v>
      </c>
      <c r="AC48" t="s">
        <v>141</v>
      </c>
      <c r="AD48" t="s">
        <v>142</v>
      </c>
    </row>
    <row r="49" spans="1:29" ht="12.75">
      <c r="A49" t="str">
        <f>"6699145556"</f>
        <v>6699145556</v>
      </c>
      <c r="B49" t="str">
        <f>"02406911202"</f>
        <v>02406911202</v>
      </c>
      <c r="C49" t="s">
        <v>13</v>
      </c>
      <c r="D49" t="s">
        <v>30</v>
      </c>
      <c r="E49" t="s">
        <v>143</v>
      </c>
      <c r="F49" t="s">
        <v>32</v>
      </c>
      <c r="G49" t="str">
        <f>"05849130157"</f>
        <v>05849130157</v>
      </c>
      <c r="I49" t="s">
        <v>144</v>
      </c>
      <c r="L49" t="s">
        <v>34</v>
      </c>
      <c r="M49">
        <v>109524.14</v>
      </c>
      <c r="O49">
        <v>109524.14</v>
      </c>
      <c r="AC49" t="s">
        <v>145</v>
      </c>
    </row>
    <row r="50" spans="1:29" ht="12.75">
      <c r="A50" t="str">
        <f>"66991498A2"</f>
        <v>66991498A2</v>
      </c>
      <c r="B50" t="str">
        <f>"02406911202"</f>
        <v>02406911202</v>
      </c>
      <c r="C50" t="s">
        <v>13</v>
      </c>
      <c r="D50" t="s">
        <v>30</v>
      </c>
      <c r="E50" t="s">
        <v>146</v>
      </c>
      <c r="F50" t="s">
        <v>32</v>
      </c>
      <c r="G50" t="str">
        <f>"00421210485"</f>
        <v>00421210485</v>
      </c>
      <c r="I50" t="s">
        <v>147</v>
      </c>
      <c r="L50" t="s">
        <v>34</v>
      </c>
      <c r="M50">
        <v>21578.4</v>
      </c>
      <c r="O50">
        <v>21578.4</v>
      </c>
      <c r="AC50" t="s">
        <v>145</v>
      </c>
    </row>
    <row r="51" spans="1:29" ht="12.75">
      <c r="A51" t="str">
        <f>"66991590E5"</f>
        <v>66991590E5</v>
      </c>
      <c r="B51" t="str">
        <f>"02406911202"</f>
        <v>02406911202</v>
      </c>
      <c r="C51" t="s">
        <v>13</v>
      </c>
      <c r="D51" t="s">
        <v>30</v>
      </c>
      <c r="E51" t="s">
        <v>148</v>
      </c>
      <c r="F51" t="s">
        <v>32</v>
      </c>
      <c r="G51" t="str">
        <f>"05038691001"</f>
        <v>05038691001</v>
      </c>
      <c r="I51" t="s">
        <v>149</v>
      </c>
      <c r="L51" t="s">
        <v>34</v>
      </c>
      <c r="M51">
        <v>61.38</v>
      </c>
      <c r="O51">
        <v>61.38</v>
      </c>
      <c r="AC51" t="s">
        <v>145</v>
      </c>
    </row>
    <row r="52" spans="1:29" ht="12.75">
      <c r="A52" t="str">
        <f>"66991666AA"</f>
        <v>66991666AA</v>
      </c>
      <c r="B52" t="str">
        <f>"02406911202"</f>
        <v>02406911202</v>
      </c>
      <c r="C52" t="s">
        <v>13</v>
      </c>
      <c r="D52" t="s">
        <v>30</v>
      </c>
      <c r="E52" t="s">
        <v>150</v>
      </c>
      <c r="F52" t="s">
        <v>32</v>
      </c>
      <c r="G52" t="str">
        <f>"00212840235"</f>
        <v>00212840235</v>
      </c>
      <c r="I52" t="s">
        <v>151</v>
      </c>
      <c r="L52" t="s">
        <v>34</v>
      </c>
      <c r="M52">
        <v>10166.4</v>
      </c>
      <c r="O52">
        <v>10166.4</v>
      </c>
      <c r="AC52" t="s">
        <v>145</v>
      </c>
    </row>
    <row r="53" spans="1:29" ht="12.75">
      <c r="A53" t="str">
        <f>"6699172B9C"</f>
        <v>6699172B9C</v>
      </c>
      <c r="B53" t="str">
        <f>"02406911202"</f>
        <v>02406911202</v>
      </c>
      <c r="C53" t="s">
        <v>13</v>
      </c>
      <c r="D53" t="s">
        <v>30</v>
      </c>
      <c r="E53" t="s">
        <v>150</v>
      </c>
      <c r="F53" t="s">
        <v>32</v>
      </c>
      <c r="G53" t="str">
        <f>"11187430159"</f>
        <v>11187430159</v>
      </c>
      <c r="I53" t="s">
        <v>152</v>
      </c>
      <c r="L53" t="s">
        <v>34</v>
      </c>
      <c r="M53">
        <v>285783.75</v>
      </c>
      <c r="O53">
        <v>285783.75</v>
      </c>
      <c r="AC53" t="s">
        <v>145</v>
      </c>
    </row>
    <row r="54" spans="1:29" ht="12.75">
      <c r="A54" t="str">
        <f>"6699177FBB"</f>
        <v>6699177FBB</v>
      </c>
      <c r="B54" t="str">
        <f>"02406911202"</f>
        <v>02406911202</v>
      </c>
      <c r="C54" t="s">
        <v>13</v>
      </c>
      <c r="D54" t="s">
        <v>30</v>
      </c>
      <c r="E54" t="s">
        <v>150</v>
      </c>
      <c r="F54" t="s">
        <v>32</v>
      </c>
      <c r="G54" t="str">
        <f>"00962280590"</f>
        <v>00962280590</v>
      </c>
      <c r="I54" t="s">
        <v>153</v>
      </c>
      <c r="L54" t="s">
        <v>34</v>
      </c>
      <c r="M54">
        <v>988066.94</v>
      </c>
      <c r="O54">
        <v>988066.94</v>
      </c>
      <c r="AC54" t="s">
        <v>145</v>
      </c>
    </row>
    <row r="55" spans="1:29" ht="12.75">
      <c r="A55" t="str">
        <f>"6699185658"</f>
        <v>6699185658</v>
      </c>
      <c r="B55" t="str">
        <f>"02406911202"</f>
        <v>02406911202</v>
      </c>
      <c r="C55" t="s">
        <v>13</v>
      </c>
      <c r="D55" t="s">
        <v>30</v>
      </c>
      <c r="E55" t="s">
        <v>150</v>
      </c>
      <c r="F55" t="s">
        <v>32</v>
      </c>
      <c r="G55" t="str">
        <f>"07195130153"</f>
        <v>07195130153</v>
      </c>
      <c r="I55" t="s">
        <v>154</v>
      </c>
      <c r="L55" t="s">
        <v>34</v>
      </c>
      <c r="M55">
        <v>270633.33</v>
      </c>
      <c r="O55">
        <v>270633.33</v>
      </c>
      <c r="AC55" t="s">
        <v>145</v>
      </c>
    </row>
    <row r="56" spans="1:29" ht="12.75">
      <c r="A56" t="str">
        <f>"668962552F"</f>
        <v>668962552F</v>
      </c>
      <c r="B56" t="str">
        <f>"02406911202"</f>
        <v>02406911202</v>
      </c>
      <c r="C56" t="s">
        <v>13</v>
      </c>
      <c r="D56" t="s">
        <v>30</v>
      </c>
      <c r="E56" t="s">
        <v>155</v>
      </c>
      <c r="F56" t="s">
        <v>32</v>
      </c>
      <c r="G56" t="str">
        <f>"00735390155"</f>
        <v>00735390155</v>
      </c>
      <c r="I56" t="s">
        <v>156</v>
      </c>
      <c r="L56" t="s">
        <v>34</v>
      </c>
      <c r="M56">
        <v>39998.92</v>
      </c>
      <c r="O56">
        <v>39998.92</v>
      </c>
      <c r="AC56" t="s">
        <v>157</v>
      </c>
    </row>
    <row r="57" spans="1:29" ht="12.75">
      <c r="A57" t="str">
        <f>"668963094E"</f>
        <v>668963094E</v>
      </c>
      <c r="B57" t="str">
        <f>"02406911202"</f>
        <v>02406911202</v>
      </c>
      <c r="C57" t="s">
        <v>13</v>
      </c>
      <c r="D57" t="s">
        <v>30</v>
      </c>
      <c r="E57" t="s">
        <v>155</v>
      </c>
      <c r="F57" t="s">
        <v>32</v>
      </c>
      <c r="G57" t="str">
        <f>"00421210485"</f>
        <v>00421210485</v>
      </c>
      <c r="I57" t="s">
        <v>147</v>
      </c>
      <c r="L57" t="s">
        <v>34</v>
      </c>
      <c r="M57">
        <v>2625</v>
      </c>
      <c r="O57">
        <v>2625</v>
      </c>
      <c r="AC57" t="s">
        <v>157</v>
      </c>
    </row>
    <row r="58" spans="1:29" ht="12.75">
      <c r="A58" t="str">
        <f>"6689632AF4"</f>
        <v>6689632AF4</v>
      </c>
      <c r="B58" t="str">
        <f>"02406911202"</f>
        <v>02406911202</v>
      </c>
      <c r="C58" t="s">
        <v>13</v>
      </c>
      <c r="D58" t="s">
        <v>30</v>
      </c>
      <c r="E58" t="s">
        <v>155</v>
      </c>
      <c r="F58" t="s">
        <v>32</v>
      </c>
      <c r="G58" t="str">
        <f>"03918040589"</f>
        <v>03918040589</v>
      </c>
      <c r="I58" t="s">
        <v>158</v>
      </c>
      <c r="L58" t="s">
        <v>34</v>
      </c>
      <c r="M58">
        <v>3817.5</v>
      </c>
      <c r="O58">
        <v>3817.5</v>
      </c>
      <c r="AC58" t="s">
        <v>157</v>
      </c>
    </row>
    <row r="59" spans="1:29" ht="12.75">
      <c r="A59" t="str">
        <f>"6689636E40"</f>
        <v>6689636E40</v>
      </c>
      <c r="B59" t="str">
        <f>"02406911202"</f>
        <v>02406911202</v>
      </c>
      <c r="C59" t="s">
        <v>13</v>
      </c>
      <c r="D59" t="s">
        <v>30</v>
      </c>
      <c r="E59" t="s">
        <v>155</v>
      </c>
      <c r="F59" t="s">
        <v>32</v>
      </c>
      <c r="G59" t="str">
        <f>"00832400154"</f>
        <v>00832400154</v>
      </c>
      <c r="I59" t="s">
        <v>159</v>
      </c>
      <c r="L59" t="s">
        <v>34</v>
      </c>
      <c r="M59">
        <v>7333.05</v>
      </c>
      <c r="O59">
        <v>7333.05</v>
      </c>
      <c r="AC59" t="s">
        <v>157</v>
      </c>
    </row>
    <row r="60" spans="1:29" ht="12.75">
      <c r="A60" t="str">
        <f>"6697656892"</f>
        <v>6697656892</v>
      </c>
      <c r="B60" t="str">
        <f>"02406911202"</f>
        <v>02406911202</v>
      </c>
      <c r="C60" t="s">
        <v>13</v>
      </c>
      <c r="D60" t="s">
        <v>30</v>
      </c>
      <c r="E60" t="s">
        <v>160</v>
      </c>
      <c r="F60" t="s">
        <v>32</v>
      </c>
      <c r="G60" t="str">
        <f>"00426150488"</f>
        <v>00426150488</v>
      </c>
      <c r="I60" t="s">
        <v>161</v>
      </c>
      <c r="L60" t="s">
        <v>34</v>
      </c>
      <c r="M60">
        <v>257330.4</v>
      </c>
      <c r="N60">
        <v>126016</v>
      </c>
      <c r="O60">
        <v>74464</v>
      </c>
      <c r="Q60">
        <v>56850.4</v>
      </c>
      <c r="AC60" t="s">
        <v>162</v>
      </c>
    </row>
    <row r="61" spans="1:29" ht="12.75">
      <c r="A61" t="str">
        <f>"6697661CB1"</f>
        <v>6697661CB1</v>
      </c>
      <c r="B61" t="str">
        <f>"02406911202"</f>
        <v>02406911202</v>
      </c>
      <c r="C61" t="s">
        <v>13</v>
      </c>
      <c r="D61" t="s">
        <v>30</v>
      </c>
      <c r="E61" t="s">
        <v>163</v>
      </c>
      <c r="F61" t="s">
        <v>32</v>
      </c>
      <c r="G61" t="str">
        <f>"02689300123"</f>
        <v>02689300123</v>
      </c>
      <c r="I61" t="s">
        <v>164</v>
      </c>
      <c r="L61" t="s">
        <v>34</v>
      </c>
      <c r="M61">
        <v>156481.8</v>
      </c>
      <c r="N61">
        <v>75764</v>
      </c>
      <c r="O61">
        <v>60465.5</v>
      </c>
      <c r="Q61">
        <v>20252.3</v>
      </c>
      <c r="AC61" t="s">
        <v>162</v>
      </c>
    </row>
    <row r="62" spans="1:29" ht="12.75">
      <c r="A62" t="str">
        <f>"6697663E57"</f>
        <v>6697663E57</v>
      </c>
      <c r="B62" t="str">
        <f>"02406911202"</f>
        <v>02406911202</v>
      </c>
      <c r="C62" t="s">
        <v>13</v>
      </c>
      <c r="D62" t="s">
        <v>30</v>
      </c>
      <c r="E62" t="s">
        <v>165</v>
      </c>
      <c r="F62" t="s">
        <v>32</v>
      </c>
      <c r="G62" t="str">
        <f>"07161740159"</f>
        <v>07161740159</v>
      </c>
      <c r="I62" t="s">
        <v>166</v>
      </c>
      <c r="L62" t="s">
        <v>34</v>
      </c>
      <c r="M62">
        <v>161280</v>
      </c>
      <c r="N62">
        <v>88000</v>
      </c>
      <c r="O62">
        <v>40000</v>
      </c>
      <c r="Q62">
        <v>33280</v>
      </c>
      <c r="AC62" t="s">
        <v>162</v>
      </c>
    </row>
    <row r="63" spans="1:29" ht="12.75">
      <c r="A63" t="str">
        <f>"6698586808"</f>
        <v>6698586808</v>
      </c>
      <c r="B63" t="str">
        <f>"02406911202"</f>
        <v>02406911202</v>
      </c>
      <c r="C63" t="s">
        <v>13</v>
      </c>
      <c r="D63" t="s">
        <v>30</v>
      </c>
      <c r="E63" t="s">
        <v>167</v>
      </c>
      <c r="F63" t="s">
        <v>32</v>
      </c>
      <c r="G63" t="str">
        <f>"03992220966"</f>
        <v>03992220966</v>
      </c>
      <c r="I63" t="s">
        <v>168</v>
      </c>
      <c r="L63" t="s">
        <v>34</v>
      </c>
      <c r="M63">
        <v>98990</v>
      </c>
      <c r="O63">
        <v>98990</v>
      </c>
      <c r="AC63" t="s">
        <v>169</v>
      </c>
    </row>
    <row r="64" spans="1:29" ht="12.75">
      <c r="A64" t="str">
        <f>"6713581E4A"</f>
        <v>6713581E4A</v>
      </c>
      <c r="B64" t="str">
        <f>"02406911202"</f>
        <v>02406911202</v>
      </c>
      <c r="C64" t="s">
        <v>13</v>
      </c>
      <c r="D64" t="s">
        <v>30</v>
      </c>
      <c r="E64" t="s">
        <v>170</v>
      </c>
      <c r="F64" t="s">
        <v>32</v>
      </c>
      <c r="G64" t="str">
        <f>"07121831007"</f>
        <v>07121831007</v>
      </c>
      <c r="I64" t="s">
        <v>171</v>
      </c>
      <c r="L64" t="s">
        <v>34</v>
      </c>
      <c r="M64">
        <v>199280</v>
      </c>
      <c r="N64">
        <v>107400</v>
      </c>
      <c r="O64">
        <v>42360</v>
      </c>
      <c r="Q64">
        <v>49520</v>
      </c>
      <c r="AC64" t="s">
        <v>172</v>
      </c>
    </row>
    <row r="65" spans="1:29" ht="12.75">
      <c r="A65" t="str">
        <f>"6024418301"</f>
        <v>6024418301</v>
      </c>
      <c r="B65" t="str">
        <f>"02406911202"</f>
        <v>02406911202</v>
      </c>
      <c r="C65" t="s">
        <v>13</v>
      </c>
      <c r="D65" t="s">
        <v>30</v>
      </c>
      <c r="E65" t="s">
        <v>173</v>
      </c>
      <c r="F65" t="s">
        <v>78</v>
      </c>
      <c r="G65" t="str">
        <f>"02897010969"</f>
        <v>02897010969</v>
      </c>
      <c r="I65" t="s">
        <v>174</v>
      </c>
      <c r="L65" t="s">
        <v>34</v>
      </c>
      <c r="M65">
        <v>58237.39</v>
      </c>
      <c r="Q65">
        <v>58237.39</v>
      </c>
      <c r="AA65" t="s">
        <v>175</v>
      </c>
      <c r="AB65" t="s">
        <v>176</v>
      </c>
      <c r="AC65" t="s">
        <v>175</v>
      </c>
    </row>
    <row r="66" spans="1:29" ht="12.75">
      <c r="A66" t="str">
        <f>"671359168D"</f>
        <v>671359168D</v>
      </c>
      <c r="B66" t="str">
        <f>"02406911202"</f>
        <v>02406911202</v>
      </c>
      <c r="C66" t="s">
        <v>13</v>
      </c>
      <c r="D66" t="s">
        <v>30</v>
      </c>
      <c r="E66" t="s">
        <v>177</v>
      </c>
      <c r="F66" t="s">
        <v>32</v>
      </c>
      <c r="G66" t="str">
        <f>"07435060152"</f>
        <v>07435060152</v>
      </c>
      <c r="I66" t="s">
        <v>178</v>
      </c>
      <c r="L66" t="s">
        <v>34</v>
      </c>
      <c r="M66">
        <v>201403.16</v>
      </c>
      <c r="N66">
        <v>134807.83</v>
      </c>
      <c r="O66">
        <v>56756</v>
      </c>
      <c r="Q66">
        <v>9839.33</v>
      </c>
      <c r="AC66" t="s">
        <v>172</v>
      </c>
    </row>
    <row r="67" spans="1:29" ht="12.75">
      <c r="A67" t="str">
        <f>"6713604149"</f>
        <v>6713604149</v>
      </c>
      <c r="B67" t="str">
        <f>"02406911202"</f>
        <v>02406911202</v>
      </c>
      <c r="C67" t="s">
        <v>13</v>
      </c>
      <c r="D67" t="s">
        <v>30</v>
      </c>
      <c r="E67" t="s">
        <v>177</v>
      </c>
      <c r="F67" t="s">
        <v>32</v>
      </c>
      <c r="G67" t="str">
        <f>"07220700962"</f>
        <v>07220700962</v>
      </c>
      <c r="I67" t="s">
        <v>179</v>
      </c>
      <c r="L67" t="s">
        <v>34</v>
      </c>
      <c r="M67">
        <v>3230</v>
      </c>
      <c r="O67">
        <v>3230</v>
      </c>
      <c r="AA67" t="s">
        <v>172</v>
      </c>
      <c r="AB67" t="s">
        <v>180</v>
      </c>
      <c r="AC67" t="s">
        <v>172</v>
      </c>
    </row>
    <row r="68" spans="1:29" ht="12.75">
      <c r="A68" t="str">
        <f>"67136138B4"</f>
        <v>67136138B4</v>
      </c>
      <c r="B68" t="str">
        <f>"02406911202"</f>
        <v>02406911202</v>
      </c>
      <c r="C68" t="s">
        <v>13</v>
      </c>
      <c r="D68" t="s">
        <v>30</v>
      </c>
      <c r="E68" t="s">
        <v>177</v>
      </c>
      <c r="F68" t="s">
        <v>32</v>
      </c>
      <c r="G68" t="str">
        <f>"05878101004"</f>
        <v>05878101004</v>
      </c>
      <c r="I68" t="s">
        <v>181</v>
      </c>
      <c r="L68" t="s">
        <v>34</v>
      </c>
      <c r="M68">
        <v>64000</v>
      </c>
      <c r="N68">
        <v>64000</v>
      </c>
      <c r="AA68" t="s">
        <v>172</v>
      </c>
      <c r="AB68" t="s">
        <v>180</v>
      </c>
      <c r="AC68" t="s">
        <v>172</v>
      </c>
    </row>
    <row r="69" spans="1:30" ht="12.75">
      <c r="A69" t="str">
        <f>"6713618CD3"</f>
        <v>6713618CD3</v>
      </c>
      <c r="B69" t="str">
        <f>"02406911202"</f>
        <v>02406911202</v>
      </c>
      <c r="C69" t="s">
        <v>13</v>
      </c>
      <c r="D69" t="s">
        <v>30</v>
      </c>
      <c r="E69" t="s">
        <v>177</v>
      </c>
      <c r="F69" t="s">
        <v>32</v>
      </c>
      <c r="G69" t="str">
        <f>"01177620299"</f>
        <v>01177620299</v>
      </c>
      <c r="I69" t="s">
        <v>182</v>
      </c>
      <c r="L69" t="s">
        <v>34</v>
      </c>
      <c r="M69">
        <v>69473.33</v>
      </c>
      <c r="N69">
        <v>54140</v>
      </c>
      <c r="Q69">
        <v>15333.33</v>
      </c>
      <c r="AC69" t="s">
        <v>172</v>
      </c>
      <c r="AD69" s="1" t="s">
        <v>183</v>
      </c>
    </row>
    <row r="70" spans="1:29" ht="12.75">
      <c r="A70" t="str">
        <f>"671362529D"</f>
        <v>671362529D</v>
      </c>
      <c r="B70" t="str">
        <f>"02406911202"</f>
        <v>02406911202</v>
      </c>
      <c r="C70" t="s">
        <v>13</v>
      </c>
      <c r="D70" t="s">
        <v>30</v>
      </c>
      <c r="E70" t="s">
        <v>184</v>
      </c>
      <c r="F70" t="s">
        <v>32</v>
      </c>
      <c r="G70" t="str">
        <f>"00474010345"</f>
        <v>00474010345</v>
      </c>
      <c r="I70" t="s">
        <v>185</v>
      </c>
      <c r="L70" t="s">
        <v>34</v>
      </c>
      <c r="M70">
        <v>32705.16</v>
      </c>
      <c r="N70">
        <v>7695.33</v>
      </c>
      <c r="O70">
        <v>17314.5</v>
      </c>
      <c r="Q70">
        <v>7695.33</v>
      </c>
      <c r="AC70" t="s">
        <v>172</v>
      </c>
    </row>
    <row r="71" spans="1:29" ht="12.75">
      <c r="A71" t="str">
        <f>"6713634A08"</f>
        <v>6713634A08</v>
      </c>
      <c r="B71" t="str">
        <f>"02406911202"</f>
        <v>02406911202</v>
      </c>
      <c r="C71" t="s">
        <v>13</v>
      </c>
      <c r="D71" t="s">
        <v>30</v>
      </c>
      <c r="E71" t="s">
        <v>177</v>
      </c>
      <c r="F71" t="s">
        <v>32</v>
      </c>
      <c r="G71" t="str">
        <f>"03912680372"</f>
        <v>03912680372</v>
      </c>
      <c r="I71" t="s">
        <v>186</v>
      </c>
      <c r="L71" t="s">
        <v>34</v>
      </c>
      <c r="M71">
        <v>84505.67</v>
      </c>
      <c r="N71">
        <v>19000</v>
      </c>
      <c r="O71">
        <v>42515.67</v>
      </c>
      <c r="Q71">
        <v>22990</v>
      </c>
      <c r="AC71" t="s">
        <v>172</v>
      </c>
    </row>
    <row r="72" spans="1:29" ht="12.75">
      <c r="A72" t="str">
        <f>"6593793A1C"</f>
        <v>6593793A1C</v>
      </c>
      <c r="B72" t="str">
        <f>"02406911202"</f>
        <v>02406911202</v>
      </c>
      <c r="C72" t="s">
        <v>13</v>
      </c>
      <c r="D72" t="s">
        <v>30</v>
      </c>
      <c r="E72" t="s">
        <v>187</v>
      </c>
      <c r="F72" t="s">
        <v>188</v>
      </c>
      <c r="G72" t="str">
        <f>"01453290098"</f>
        <v>01453290098</v>
      </c>
      <c r="I72" t="s">
        <v>189</v>
      </c>
      <c r="L72" t="s">
        <v>34</v>
      </c>
      <c r="M72">
        <v>412863.6</v>
      </c>
      <c r="N72">
        <v>154014</v>
      </c>
      <c r="O72">
        <v>143904</v>
      </c>
      <c r="P72">
        <v>75815.2</v>
      </c>
      <c r="Q72">
        <v>39130.4</v>
      </c>
      <c r="AC72" t="s">
        <v>190</v>
      </c>
    </row>
    <row r="73" spans="1:29" ht="12.75">
      <c r="A73" t="str">
        <f>"6593793A1C"</f>
        <v>6593793A1C</v>
      </c>
      <c r="B73" t="str">
        <f>"02406911202"</f>
        <v>02406911202</v>
      </c>
      <c r="C73" t="s">
        <v>13</v>
      </c>
      <c r="D73" t="s">
        <v>30</v>
      </c>
      <c r="E73" t="s">
        <v>187</v>
      </c>
      <c r="F73" t="s">
        <v>188</v>
      </c>
      <c r="G73" t="str">
        <f>"01922280548"</f>
        <v>01922280548</v>
      </c>
      <c r="I73" t="s">
        <v>191</v>
      </c>
      <c r="L73" t="s">
        <v>91</v>
      </c>
      <c r="AC73" t="s">
        <v>190</v>
      </c>
    </row>
    <row r="74" spans="1:29" ht="12.75">
      <c r="A74" t="str">
        <f>"61870692DB"</f>
        <v>61870692DB</v>
      </c>
      <c r="B74" t="str">
        <f>"02406911202"</f>
        <v>02406911202</v>
      </c>
      <c r="C74" t="s">
        <v>13</v>
      </c>
      <c r="D74" t="s">
        <v>30</v>
      </c>
      <c r="E74" t="s">
        <v>192</v>
      </c>
      <c r="F74" t="s">
        <v>78</v>
      </c>
      <c r="G74" t="str">
        <f>"04472901000"</f>
        <v>04472901000</v>
      </c>
      <c r="I74" t="s">
        <v>193</v>
      </c>
      <c r="L74" t="s">
        <v>34</v>
      </c>
      <c r="M74">
        <v>81200</v>
      </c>
      <c r="O74">
        <v>81200</v>
      </c>
      <c r="AA74" t="s">
        <v>194</v>
      </c>
      <c r="AC74" t="s">
        <v>194</v>
      </c>
    </row>
    <row r="75" spans="1:29" ht="12.75">
      <c r="A75" t="str">
        <f>"554638802C"</f>
        <v>554638802C</v>
      </c>
      <c r="B75" t="str">
        <f>"02406911202"</f>
        <v>02406911202</v>
      </c>
      <c r="C75" t="s">
        <v>13</v>
      </c>
      <c r="D75" t="s">
        <v>30</v>
      </c>
      <c r="E75" t="s">
        <v>195</v>
      </c>
      <c r="F75" t="s">
        <v>78</v>
      </c>
      <c r="G75" t="str">
        <f>"00488410010"</f>
        <v>00488410010</v>
      </c>
      <c r="I75" t="s">
        <v>196</v>
      </c>
      <c r="L75" t="s">
        <v>34</v>
      </c>
      <c r="M75">
        <v>159840.59</v>
      </c>
      <c r="O75">
        <v>159840.59</v>
      </c>
      <c r="AA75" t="s">
        <v>194</v>
      </c>
      <c r="AC75" t="s">
        <v>194</v>
      </c>
    </row>
    <row r="76" spans="1:29" ht="12.75">
      <c r="A76" t="str">
        <f>"6717885E10"</f>
        <v>6717885E10</v>
      </c>
      <c r="B76" t="str">
        <f>"02406911202"</f>
        <v>02406911202</v>
      </c>
      <c r="C76" t="s">
        <v>13</v>
      </c>
      <c r="D76" t="s">
        <v>30</v>
      </c>
      <c r="E76" t="s">
        <v>197</v>
      </c>
      <c r="F76" t="s">
        <v>188</v>
      </c>
      <c r="G76" t="str">
        <f>"05510281008"</f>
        <v>05510281008</v>
      </c>
      <c r="I76" t="s">
        <v>198</v>
      </c>
      <c r="L76" t="s">
        <v>34</v>
      </c>
      <c r="M76">
        <v>257400</v>
      </c>
      <c r="Q76">
        <v>257400</v>
      </c>
      <c r="AC76" t="s">
        <v>199</v>
      </c>
    </row>
    <row r="77" spans="1:29" ht="12.75">
      <c r="A77" t="str">
        <f>"6660026B4F"</f>
        <v>6660026B4F</v>
      </c>
      <c r="B77" t="str">
        <f>"02406911202"</f>
        <v>02406911202</v>
      </c>
      <c r="C77" t="s">
        <v>13</v>
      </c>
      <c r="D77" t="s">
        <v>30</v>
      </c>
      <c r="E77" t="s">
        <v>200</v>
      </c>
      <c r="F77" t="s">
        <v>46</v>
      </c>
      <c r="G77" t="str">
        <f>"01681100150"</f>
        <v>01681100150</v>
      </c>
      <c r="I77" t="s">
        <v>201</v>
      </c>
      <c r="L77" t="s">
        <v>34</v>
      </c>
      <c r="M77">
        <v>20376</v>
      </c>
      <c r="N77">
        <v>16876</v>
      </c>
      <c r="Q77">
        <v>3500</v>
      </c>
      <c r="AA77" t="s">
        <v>66</v>
      </c>
      <c r="AB77" t="s">
        <v>67</v>
      </c>
      <c r="AC77" t="s">
        <v>202</v>
      </c>
    </row>
    <row r="78" spans="1:29" ht="12.75">
      <c r="A78" t="str">
        <f>"67222418C1"</f>
        <v>67222418C1</v>
      </c>
      <c r="B78" t="str">
        <f>"02406911202"</f>
        <v>02406911202</v>
      </c>
      <c r="C78" t="s">
        <v>13</v>
      </c>
      <c r="D78" t="s">
        <v>30</v>
      </c>
      <c r="E78" t="s">
        <v>203</v>
      </c>
      <c r="F78" t="s">
        <v>78</v>
      </c>
      <c r="G78" t="str">
        <f>"06908900019"</f>
        <v>06908900019</v>
      </c>
      <c r="I78" t="s">
        <v>204</v>
      </c>
      <c r="J78" t="s">
        <v>205</v>
      </c>
      <c r="K78" t="s">
        <v>59</v>
      </c>
      <c r="AC78" t="s">
        <v>206</v>
      </c>
    </row>
    <row r="79" spans="1:29" ht="12.75">
      <c r="A79" t="str">
        <f>"67222418C1"</f>
        <v>67222418C1</v>
      </c>
      <c r="B79" t="str">
        <f>"02406911202"</f>
        <v>02406911202</v>
      </c>
      <c r="C79" t="s">
        <v>13</v>
      </c>
      <c r="D79" t="s">
        <v>30</v>
      </c>
      <c r="E79" t="s">
        <v>203</v>
      </c>
      <c r="F79" t="s">
        <v>78</v>
      </c>
      <c r="G79" t="str">
        <f>"02615080963"</f>
        <v>02615080963</v>
      </c>
      <c r="I79" t="s">
        <v>207</v>
      </c>
      <c r="J79" t="s">
        <v>205</v>
      </c>
      <c r="K79" t="s">
        <v>62</v>
      </c>
      <c r="AC79" t="s">
        <v>206</v>
      </c>
    </row>
    <row r="80" spans="1:29" ht="12.75">
      <c r="A80" t="str">
        <f>"67222418C1"</f>
        <v>67222418C1</v>
      </c>
      <c r="B80" t="str">
        <f>"02406911202"</f>
        <v>02406911202</v>
      </c>
      <c r="C80" t="s">
        <v>13</v>
      </c>
      <c r="D80" t="s">
        <v>30</v>
      </c>
      <c r="E80" t="s">
        <v>203</v>
      </c>
      <c r="F80" t="s">
        <v>78</v>
      </c>
      <c r="G80" t="str">
        <f>"09890720155"</f>
        <v>09890720155</v>
      </c>
      <c r="I80" t="s">
        <v>208</v>
      </c>
      <c r="J80" t="s">
        <v>205</v>
      </c>
      <c r="K80" t="s">
        <v>62</v>
      </c>
      <c r="AC80" t="s">
        <v>206</v>
      </c>
    </row>
    <row r="81" spans="1:29" ht="12.75">
      <c r="A81" t="str">
        <f>"67222418C1"</f>
        <v>67222418C1</v>
      </c>
      <c r="B81" t="str">
        <f>"02406911202"</f>
        <v>02406911202</v>
      </c>
      <c r="C81" t="s">
        <v>13</v>
      </c>
      <c r="D81" t="s">
        <v>30</v>
      </c>
      <c r="E81" t="s">
        <v>203</v>
      </c>
      <c r="F81" t="s">
        <v>78</v>
      </c>
      <c r="I81" t="s">
        <v>205</v>
      </c>
      <c r="L81" t="s">
        <v>34</v>
      </c>
      <c r="M81">
        <v>36796</v>
      </c>
      <c r="Q81">
        <v>36796</v>
      </c>
      <c r="AA81" t="s">
        <v>209</v>
      </c>
      <c r="AB81" t="s">
        <v>180</v>
      </c>
      <c r="AC81" t="s">
        <v>206</v>
      </c>
    </row>
    <row r="82" spans="1:29" ht="12.75">
      <c r="A82" t="str">
        <f>"66815193E7"</f>
        <v>66815193E7</v>
      </c>
      <c r="B82" t="str">
        <f>"02406911202"</f>
        <v>02406911202</v>
      </c>
      <c r="C82" t="s">
        <v>13</v>
      </c>
      <c r="D82" t="s">
        <v>30</v>
      </c>
      <c r="E82" t="s">
        <v>210</v>
      </c>
      <c r="F82" t="s">
        <v>32</v>
      </c>
      <c r="G82" t="str">
        <f>"00248660599"</f>
        <v>00248660599</v>
      </c>
      <c r="I82" t="s">
        <v>211</v>
      </c>
      <c r="L82" t="s">
        <v>34</v>
      </c>
      <c r="M82">
        <v>22000</v>
      </c>
      <c r="O82">
        <v>22000</v>
      </c>
      <c r="AC82" t="s">
        <v>99</v>
      </c>
    </row>
    <row r="83" spans="1:30" ht="12.75">
      <c r="A83" t="str">
        <f>"66929572D7"</f>
        <v>66929572D7</v>
      </c>
      <c r="B83" t="str">
        <f>"02406911202"</f>
        <v>02406911202</v>
      </c>
      <c r="C83" t="s">
        <v>13</v>
      </c>
      <c r="D83" t="s">
        <v>30</v>
      </c>
      <c r="E83" t="s">
        <v>212</v>
      </c>
      <c r="F83" t="s">
        <v>32</v>
      </c>
      <c r="G83" t="str">
        <f>"08864080158"</f>
        <v>08864080158</v>
      </c>
      <c r="I83" t="s">
        <v>138</v>
      </c>
      <c r="L83" t="s">
        <v>34</v>
      </c>
      <c r="M83">
        <v>180000</v>
      </c>
      <c r="O83">
        <v>180000</v>
      </c>
      <c r="AC83" t="s">
        <v>213</v>
      </c>
      <c r="AD83" t="s">
        <v>214</v>
      </c>
    </row>
    <row r="84" spans="1:29" ht="12.75">
      <c r="A84" t="str">
        <f>"6692967B15"</f>
        <v>6692967B15</v>
      </c>
      <c r="B84" t="str">
        <f>"02406911202"</f>
        <v>02406911202</v>
      </c>
      <c r="C84" t="s">
        <v>13</v>
      </c>
      <c r="D84" t="s">
        <v>30</v>
      </c>
      <c r="E84" t="s">
        <v>215</v>
      </c>
      <c r="F84" t="s">
        <v>32</v>
      </c>
      <c r="G84" t="str">
        <f>"02597550231"</f>
        <v>02597550231</v>
      </c>
      <c r="I84" t="s">
        <v>216</v>
      </c>
      <c r="L84" t="s">
        <v>34</v>
      </c>
      <c r="M84">
        <v>30000</v>
      </c>
      <c r="O84">
        <v>30000</v>
      </c>
      <c r="AC84" t="s">
        <v>213</v>
      </c>
    </row>
    <row r="85" spans="1:29" ht="12.75">
      <c r="A85" t="str">
        <f>"672409638E"</f>
        <v>672409638E</v>
      </c>
      <c r="B85" t="str">
        <f>"02406911202"</f>
        <v>02406911202</v>
      </c>
      <c r="C85" t="s">
        <v>13</v>
      </c>
      <c r="D85" t="s">
        <v>30</v>
      </c>
      <c r="E85" t="s">
        <v>217</v>
      </c>
      <c r="F85" t="s">
        <v>32</v>
      </c>
      <c r="G85" t="str">
        <f>"02109510368"</f>
        <v>02109510368</v>
      </c>
      <c r="I85" t="s">
        <v>218</v>
      </c>
      <c r="L85" t="s">
        <v>34</v>
      </c>
      <c r="M85">
        <v>250110</v>
      </c>
      <c r="O85">
        <v>250110</v>
      </c>
      <c r="AC85" t="s">
        <v>219</v>
      </c>
    </row>
    <row r="86" spans="1:29" ht="12.75">
      <c r="A86" t="str">
        <f>"66051538AE"</f>
        <v>66051538AE</v>
      </c>
      <c r="B86" t="str">
        <f>"02406911202"</f>
        <v>02406911202</v>
      </c>
      <c r="C86" t="s">
        <v>13</v>
      </c>
      <c r="D86" t="s">
        <v>30</v>
      </c>
      <c r="E86" t="s">
        <v>220</v>
      </c>
      <c r="F86" t="s">
        <v>32</v>
      </c>
      <c r="G86" t="str">
        <f>"00289340366"</f>
        <v>00289340366</v>
      </c>
      <c r="I86" t="s">
        <v>221</v>
      </c>
      <c r="L86" t="s">
        <v>91</v>
      </c>
      <c r="AC86" t="s">
        <v>222</v>
      </c>
    </row>
    <row r="87" spans="1:29" ht="12.75">
      <c r="A87" t="str">
        <f>"66051538AE"</f>
        <v>66051538AE</v>
      </c>
      <c r="B87" t="str">
        <f>"02406911202"</f>
        <v>02406911202</v>
      </c>
      <c r="C87" t="s">
        <v>13</v>
      </c>
      <c r="D87" t="s">
        <v>30</v>
      </c>
      <c r="E87" t="s">
        <v>220</v>
      </c>
      <c r="F87" t="s">
        <v>32</v>
      </c>
      <c r="G87" t="str">
        <f>"00567350376"</f>
        <v>00567350376</v>
      </c>
      <c r="I87" t="s">
        <v>223</v>
      </c>
      <c r="L87" t="s">
        <v>91</v>
      </c>
      <c r="AC87" t="s">
        <v>222</v>
      </c>
    </row>
    <row r="88" spans="1:29" ht="12.75">
      <c r="A88" t="str">
        <f>"66051538AE"</f>
        <v>66051538AE</v>
      </c>
      <c r="B88" t="str">
        <f>"02406911202"</f>
        <v>02406911202</v>
      </c>
      <c r="C88" t="s">
        <v>13</v>
      </c>
      <c r="D88" t="s">
        <v>30</v>
      </c>
      <c r="E88" t="s">
        <v>220</v>
      </c>
      <c r="F88" t="s">
        <v>32</v>
      </c>
      <c r="G88" t="str">
        <f>"00378740344"</f>
        <v>00378740344</v>
      </c>
      <c r="I88" t="s">
        <v>224</v>
      </c>
      <c r="L88" t="s">
        <v>91</v>
      </c>
      <c r="AC88" t="s">
        <v>222</v>
      </c>
    </row>
    <row r="89" spans="1:29" ht="12.75">
      <c r="A89" t="str">
        <f>"66051538AE"</f>
        <v>66051538AE</v>
      </c>
      <c r="B89" t="str">
        <f>"02406911202"</f>
        <v>02406911202</v>
      </c>
      <c r="C89" t="s">
        <v>13</v>
      </c>
      <c r="D89" t="s">
        <v>30</v>
      </c>
      <c r="E89" t="s">
        <v>220</v>
      </c>
      <c r="F89" t="s">
        <v>32</v>
      </c>
      <c r="G89" t="str">
        <f>"01587670355"</f>
        <v>01587670355</v>
      </c>
      <c r="I89" t="s">
        <v>225</v>
      </c>
      <c r="L89" t="s">
        <v>91</v>
      </c>
      <c r="AC89" t="s">
        <v>222</v>
      </c>
    </row>
    <row r="90" spans="1:29" ht="12.75">
      <c r="A90" t="str">
        <f>"66051538AE"</f>
        <v>66051538AE</v>
      </c>
      <c r="B90" t="str">
        <f>"02406911202"</f>
        <v>02406911202</v>
      </c>
      <c r="C90" t="s">
        <v>13</v>
      </c>
      <c r="D90" t="s">
        <v>30</v>
      </c>
      <c r="E90" t="s">
        <v>220</v>
      </c>
      <c r="F90" t="s">
        <v>32</v>
      </c>
      <c r="G90" t="str">
        <f>"00520581208"</f>
        <v>00520581208</v>
      </c>
      <c r="I90" t="s">
        <v>226</v>
      </c>
      <c r="L90" t="s">
        <v>91</v>
      </c>
      <c r="AC90" t="s">
        <v>222</v>
      </c>
    </row>
    <row r="91" spans="1:29" ht="12.75">
      <c r="A91" t="str">
        <f>"66051538AE"</f>
        <v>66051538AE</v>
      </c>
      <c r="B91" t="str">
        <f>"02406911202"</f>
        <v>02406911202</v>
      </c>
      <c r="C91" t="s">
        <v>13</v>
      </c>
      <c r="D91" t="s">
        <v>30</v>
      </c>
      <c r="E91" t="s">
        <v>220</v>
      </c>
      <c r="F91" t="s">
        <v>32</v>
      </c>
      <c r="G91" t="str">
        <f>"00512231200"</f>
        <v>00512231200</v>
      </c>
      <c r="I91" t="s">
        <v>227</v>
      </c>
      <c r="L91" t="s">
        <v>91</v>
      </c>
      <c r="AC91" t="s">
        <v>222</v>
      </c>
    </row>
    <row r="92" spans="1:29" ht="12.75">
      <c r="A92" t="str">
        <f>"66051538AE"</f>
        <v>66051538AE</v>
      </c>
      <c r="B92" t="str">
        <f>"02406911202"</f>
        <v>02406911202</v>
      </c>
      <c r="C92" t="s">
        <v>13</v>
      </c>
      <c r="D92" t="s">
        <v>30</v>
      </c>
      <c r="E92" t="s">
        <v>220</v>
      </c>
      <c r="F92" t="s">
        <v>32</v>
      </c>
      <c r="G92" t="str">
        <f>"00310180351"</f>
        <v>00310180351</v>
      </c>
      <c r="I92" t="s">
        <v>228</v>
      </c>
      <c r="L92" t="s">
        <v>91</v>
      </c>
      <c r="AC92" t="s">
        <v>222</v>
      </c>
    </row>
    <row r="93" spans="1:29" ht="12.75">
      <c r="A93" t="str">
        <f>"66051538AE"</f>
        <v>66051538AE</v>
      </c>
      <c r="B93" t="str">
        <f>"02406911202"</f>
        <v>02406911202</v>
      </c>
      <c r="C93" t="s">
        <v>13</v>
      </c>
      <c r="D93" t="s">
        <v>30</v>
      </c>
      <c r="E93" t="s">
        <v>220</v>
      </c>
      <c r="F93" t="s">
        <v>32</v>
      </c>
      <c r="G93" t="str">
        <f>"01698960547"</f>
        <v>01698960547</v>
      </c>
      <c r="I93" t="s">
        <v>229</v>
      </c>
      <c r="L93" t="s">
        <v>34</v>
      </c>
      <c r="M93">
        <v>123696</v>
      </c>
      <c r="P93">
        <v>123696</v>
      </c>
      <c r="AC93" t="s">
        <v>222</v>
      </c>
    </row>
    <row r="94" spans="1:29" ht="12.75">
      <c r="A94" t="str">
        <f>"66051538AE"</f>
        <v>66051538AE</v>
      </c>
      <c r="B94" t="str">
        <f>"02406911202"</f>
        <v>02406911202</v>
      </c>
      <c r="C94" t="s">
        <v>13</v>
      </c>
      <c r="D94" t="s">
        <v>30</v>
      </c>
      <c r="E94" t="s">
        <v>220</v>
      </c>
      <c r="F94" t="s">
        <v>32</v>
      </c>
      <c r="G94" t="str">
        <f>"00501651202"</f>
        <v>00501651202</v>
      </c>
      <c r="I94" t="s">
        <v>230</v>
      </c>
      <c r="L94" t="s">
        <v>91</v>
      </c>
      <c r="AC94" t="s">
        <v>222</v>
      </c>
    </row>
    <row r="95" spans="1:29" ht="12.75">
      <c r="A95" t="str">
        <f>"66051538AE"</f>
        <v>66051538AE</v>
      </c>
      <c r="B95" t="str">
        <f>"02406911202"</f>
        <v>02406911202</v>
      </c>
      <c r="C95" t="s">
        <v>13</v>
      </c>
      <c r="D95" t="s">
        <v>30</v>
      </c>
      <c r="E95" t="s">
        <v>220</v>
      </c>
      <c r="F95" t="s">
        <v>32</v>
      </c>
      <c r="G95" t="str">
        <f>"03893361000"</f>
        <v>03893361000</v>
      </c>
      <c r="I95" t="s">
        <v>231</v>
      </c>
      <c r="L95" t="s">
        <v>91</v>
      </c>
      <c r="AC95" t="s">
        <v>222</v>
      </c>
    </row>
    <row r="96" spans="1:29" ht="12.75">
      <c r="A96" t="str">
        <f>"6710596EFD"</f>
        <v>6710596EFD</v>
      </c>
      <c r="B96" t="str">
        <f>"02406911202"</f>
        <v>02406911202</v>
      </c>
      <c r="C96" t="s">
        <v>13</v>
      </c>
      <c r="D96" t="s">
        <v>30</v>
      </c>
      <c r="E96" t="s">
        <v>232</v>
      </c>
      <c r="F96" t="s">
        <v>32</v>
      </c>
      <c r="G96" t="str">
        <f>"09053360153"</f>
        <v>09053360153</v>
      </c>
      <c r="I96" t="s">
        <v>233</v>
      </c>
      <c r="L96" t="s">
        <v>34</v>
      </c>
      <c r="M96">
        <v>47532.66</v>
      </c>
      <c r="N96">
        <v>21959.87</v>
      </c>
      <c r="O96">
        <v>3796.13</v>
      </c>
      <c r="Q96">
        <v>3343.33</v>
      </c>
      <c r="R96">
        <v>930</v>
      </c>
      <c r="S96">
        <v>17503.33</v>
      </c>
      <c r="AC96" t="s">
        <v>234</v>
      </c>
    </row>
    <row r="97" spans="1:29" ht="12.75">
      <c r="A97" t="str">
        <f>"67105966D"</f>
        <v>67105966D</v>
      </c>
      <c r="B97" t="str">
        <f>"02406911202"</f>
        <v>02406911202</v>
      </c>
      <c r="C97" t="s">
        <v>13</v>
      </c>
      <c r="D97" t="s">
        <v>30</v>
      </c>
      <c r="E97" t="s">
        <v>235</v>
      </c>
      <c r="F97" t="s">
        <v>32</v>
      </c>
      <c r="G97" t="str">
        <f>"02284760366"</f>
        <v>02284760366</v>
      </c>
      <c r="I97" t="s">
        <v>236</v>
      </c>
      <c r="L97" t="s">
        <v>34</v>
      </c>
      <c r="M97">
        <v>12740</v>
      </c>
      <c r="O97">
        <v>1560</v>
      </c>
      <c r="Q97">
        <v>2860</v>
      </c>
      <c r="R97">
        <v>2080</v>
      </c>
      <c r="S97">
        <v>6240</v>
      </c>
      <c r="AC97" t="s">
        <v>39</v>
      </c>
    </row>
    <row r="98" spans="1:29" ht="12.75">
      <c r="A98" t="str">
        <f>"6710610A8C"</f>
        <v>6710610A8C</v>
      </c>
      <c r="B98" t="str">
        <f>"02406911202"</f>
        <v>02406911202</v>
      </c>
      <c r="C98" t="s">
        <v>13</v>
      </c>
      <c r="D98" t="s">
        <v>30</v>
      </c>
      <c r="E98" t="s">
        <v>237</v>
      </c>
      <c r="F98" t="s">
        <v>32</v>
      </c>
      <c r="G98" t="str">
        <f>"01140030360"</f>
        <v>01140030360</v>
      </c>
      <c r="I98" t="s">
        <v>238</v>
      </c>
      <c r="L98" t="s">
        <v>34</v>
      </c>
      <c r="M98">
        <v>28110.5</v>
      </c>
      <c r="N98">
        <v>20282.7</v>
      </c>
      <c r="O98">
        <v>3780</v>
      </c>
      <c r="Q98">
        <v>729.8</v>
      </c>
      <c r="R98">
        <v>1629</v>
      </c>
      <c r="S98">
        <v>1689</v>
      </c>
      <c r="AC98" t="s">
        <v>234</v>
      </c>
    </row>
    <row r="99" spans="1:29" ht="12.75">
      <c r="A99" t="str">
        <f>"6710617056"</f>
        <v>6710617056</v>
      </c>
      <c r="B99" t="str">
        <f>"02406911202"</f>
        <v>02406911202</v>
      </c>
      <c r="C99" t="s">
        <v>13</v>
      </c>
      <c r="D99" t="s">
        <v>30</v>
      </c>
      <c r="E99" t="s">
        <v>239</v>
      </c>
      <c r="F99" t="s">
        <v>32</v>
      </c>
      <c r="G99" t="str">
        <f>"00551370372"</f>
        <v>00551370372</v>
      </c>
      <c r="I99" t="s">
        <v>240</v>
      </c>
      <c r="L99" t="s">
        <v>34</v>
      </c>
      <c r="M99">
        <v>4926.13</v>
      </c>
      <c r="N99">
        <v>1213.33</v>
      </c>
      <c r="O99">
        <v>121.33</v>
      </c>
      <c r="Q99">
        <v>1518.4</v>
      </c>
      <c r="R99">
        <v>156</v>
      </c>
      <c r="S99">
        <v>1917.07</v>
      </c>
      <c r="AC99" t="s">
        <v>234</v>
      </c>
    </row>
    <row r="100" spans="1:29" ht="12.75">
      <c r="A100" t="str">
        <f>"6710623548"</f>
        <v>6710623548</v>
      </c>
      <c r="B100" t="str">
        <f>"02406911202"</f>
        <v>02406911202</v>
      </c>
      <c r="C100" t="s">
        <v>13</v>
      </c>
      <c r="D100" t="s">
        <v>30</v>
      </c>
      <c r="E100" t="s">
        <v>241</v>
      </c>
      <c r="F100" t="s">
        <v>32</v>
      </c>
      <c r="G100" t="str">
        <f>"11206730159"</f>
        <v>11206730159</v>
      </c>
      <c r="I100" t="s">
        <v>65</v>
      </c>
      <c r="L100" t="s">
        <v>34</v>
      </c>
      <c r="M100">
        <v>655470.66</v>
      </c>
      <c r="N100">
        <v>348250</v>
      </c>
      <c r="O100">
        <v>162046.67</v>
      </c>
      <c r="Q100">
        <v>9769.33</v>
      </c>
      <c r="R100">
        <v>3593.33</v>
      </c>
      <c r="S100">
        <v>131811.33</v>
      </c>
      <c r="AC100" t="s">
        <v>234</v>
      </c>
    </row>
    <row r="101" spans="1:29" ht="12.75">
      <c r="A101" t="str">
        <f>"6710634E59"</f>
        <v>6710634E59</v>
      </c>
      <c r="B101" t="str">
        <f>"02406911202"</f>
        <v>02406911202</v>
      </c>
      <c r="C101" t="s">
        <v>13</v>
      </c>
      <c r="D101" t="s">
        <v>30</v>
      </c>
      <c r="E101" t="s">
        <v>242</v>
      </c>
      <c r="F101" t="s">
        <v>32</v>
      </c>
      <c r="G101" t="str">
        <f>"05297730961"</f>
        <v>05297730961</v>
      </c>
      <c r="I101" t="s">
        <v>243</v>
      </c>
      <c r="L101" t="s">
        <v>34</v>
      </c>
      <c r="M101">
        <v>6133.33</v>
      </c>
      <c r="N101">
        <v>5800</v>
      </c>
      <c r="S101">
        <v>333.33</v>
      </c>
      <c r="AC101" t="s">
        <v>234</v>
      </c>
    </row>
    <row r="102" spans="1:29" ht="12.75">
      <c r="A102" t="str">
        <f>"6710641423"</f>
        <v>6710641423</v>
      </c>
      <c r="B102" t="str">
        <f>"02406911202"</f>
        <v>02406911202</v>
      </c>
      <c r="C102" t="s">
        <v>13</v>
      </c>
      <c r="D102" t="s">
        <v>30</v>
      </c>
      <c r="E102" t="s">
        <v>244</v>
      </c>
      <c r="F102" t="s">
        <v>32</v>
      </c>
      <c r="G102" t="str">
        <f>"07123400157"</f>
        <v>07123400157</v>
      </c>
      <c r="I102" t="s">
        <v>245</v>
      </c>
      <c r="L102" t="s">
        <v>34</v>
      </c>
      <c r="M102">
        <v>207176.66</v>
      </c>
      <c r="N102">
        <v>104598.33</v>
      </c>
      <c r="O102">
        <v>74910</v>
      </c>
      <c r="Q102">
        <v>14133.33</v>
      </c>
      <c r="R102">
        <v>1200</v>
      </c>
      <c r="S102">
        <v>12335</v>
      </c>
      <c r="AC102" t="s">
        <v>234</v>
      </c>
    </row>
    <row r="103" spans="1:29" ht="12.75">
      <c r="A103" t="str">
        <f>"6710652034"</f>
        <v>6710652034</v>
      </c>
      <c r="B103" t="str">
        <f>"02406911202"</f>
        <v>02406911202</v>
      </c>
      <c r="C103" t="s">
        <v>13</v>
      </c>
      <c r="D103" t="s">
        <v>30</v>
      </c>
      <c r="E103" t="s">
        <v>246</v>
      </c>
      <c r="F103" t="s">
        <v>32</v>
      </c>
      <c r="M103">
        <v>7186.73</v>
      </c>
      <c r="AA103" t="s">
        <v>247</v>
      </c>
      <c r="AB103" t="s">
        <v>180</v>
      </c>
      <c r="AC103" t="s">
        <v>234</v>
      </c>
    </row>
    <row r="104" spans="1:29" ht="12.75">
      <c r="A104" t="str">
        <f>"67106592FE"</f>
        <v>67106592FE</v>
      </c>
      <c r="B104" t="str">
        <f>"02406911202"</f>
        <v>02406911202</v>
      </c>
      <c r="C104" t="s">
        <v>13</v>
      </c>
      <c r="D104" t="s">
        <v>30</v>
      </c>
      <c r="E104" t="s">
        <v>248</v>
      </c>
      <c r="F104" t="s">
        <v>32</v>
      </c>
      <c r="G104" t="str">
        <f>"00634962060"</f>
        <v>00634962060</v>
      </c>
      <c r="I104" t="s">
        <v>249</v>
      </c>
      <c r="L104" t="s">
        <v>34</v>
      </c>
      <c r="M104">
        <v>7186.73</v>
      </c>
      <c r="Q104">
        <v>7186.73</v>
      </c>
      <c r="AC104" t="s">
        <v>234</v>
      </c>
    </row>
    <row r="105" spans="1:29" ht="12.75">
      <c r="A105" t="str">
        <f>"6710672DB5"</f>
        <v>6710672DB5</v>
      </c>
      <c r="B105" t="str">
        <f>"02406911202"</f>
        <v>02406911202</v>
      </c>
      <c r="C105" t="s">
        <v>13</v>
      </c>
      <c r="D105" t="s">
        <v>30</v>
      </c>
      <c r="E105" t="s">
        <v>250</v>
      </c>
      <c r="F105" t="s">
        <v>32</v>
      </c>
      <c r="G105" t="str">
        <f>"03531000820"</f>
        <v>03531000820</v>
      </c>
      <c r="I105" t="s">
        <v>251</v>
      </c>
      <c r="L105" t="s">
        <v>34</v>
      </c>
      <c r="M105">
        <v>14326.67</v>
      </c>
      <c r="N105">
        <v>12600</v>
      </c>
      <c r="O105">
        <v>280</v>
      </c>
      <c r="S105">
        <v>1446.67</v>
      </c>
      <c r="AC105" t="s">
        <v>234</v>
      </c>
    </row>
    <row r="106" spans="1:29" ht="12.75">
      <c r="A106" t="str">
        <f>"67106782AC"</f>
        <v>67106782AC</v>
      </c>
      <c r="B106" t="str">
        <f>"02406911202"</f>
        <v>02406911202</v>
      </c>
      <c r="C106" t="s">
        <v>13</v>
      </c>
      <c r="D106" t="s">
        <v>30</v>
      </c>
      <c r="E106" t="s">
        <v>252</v>
      </c>
      <c r="F106" t="s">
        <v>253</v>
      </c>
      <c r="G106" t="str">
        <f>"00458450012"</f>
        <v>00458450012</v>
      </c>
      <c r="I106" t="s">
        <v>254</v>
      </c>
      <c r="L106" t="s">
        <v>34</v>
      </c>
      <c r="M106">
        <v>4677.33</v>
      </c>
      <c r="N106">
        <v>292.33</v>
      </c>
      <c r="O106">
        <v>877</v>
      </c>
      <c r="R106">
        <v>3508</v>
      </c>
      <c r="AC106" t="s">
        <v>234</v>
      </c>
    </row>
    <row r="107" spans="1:29" ht="12.75">
      <c r="A107" t="str">
        <f>"6710664FDC"</f>
        <v>6710664FDC</v>
      </c>
      <c r="B107" t="str">
        <f>"02406911202"</f>
        <v>02406911202</v>
      </c>
      <c r="C107" t="s">
        <v>13</v>
      </c>
      <c r="D107" t="s">
        <v>30</v>
      </c>
      <c r="E107" t="s">
        <v>255</v>
      </c>
      <c r="F107" t="s">
        <v>32</v>
      </c>
      <c r="M107">
        <v>4890</v>
      </c>
      <c r="AC107" t="s">
        <v>234</v>
      </c>
    </row>
    <row r="108" spans="1:29" ht="12.75">
      <c r="A108" t="str">
        <f>"6703883B40"</f>
        <v>6703883B40</v>
      </c>
      <c r="B108" t="str">
        <f>"02406911202"</f>
        <v>02406911202</v>
      </c>
      <c r="C108" t="s">
        <v>13</v>
      </c>
      <c r="D108" t="s">
        <v>30</v>
      </c>
      <c r="E108" t="s">
        <v>256</v>
      </c>
      <c r="F108" t="s">
        <v>32</v>
      </c>
      <c r="G108" t="str">
        <f>"10994940152"</f>
        <v>10994940152</v>
      </c>
      <c r="I108" t="s">
        <v>257</v>
      </c>
      <c r="L108" t="s">
        <v>34</v>
      </c>
      <c r="M108">
        <v>356880</v>
      </c>
      <c r="O108">
        <v>356880</v>
      </c>
      <c r="AC108" t="s">
        <v>80</v>
      </c>
    </row>
    <row r="109" spans="1:29" ht="12.75">
      <c r="A109" t="str">
        <f>"671060566D"</f>
        <v>671060566D</v>
      </c>
      <c r="B109" t="str">
        <f>"02406911202"</f>
        <v>02406911202</v>
      </c>
      <c r="C109" t="s">
        <v>13</v>
      </c>
      <c r="D109" t="s">
        <v>30</v>
      </c>
      <c r="E109" t="s">
        <v>258</v>
      </c>
      <c r="F109" t="s">
        <v>32</v>
      </c>
      <c r="G109" t="str">
        <f>"02284760336"</f>
        <v>02284760336</v>
      </c>
      <c r="I109" t="s">
        <v>259</v>
      </c>
      <c r="L109" t="s">
        <v>34</v>
      </c>
      <c r="M109">
        <v>12740</v>
      </c>
      <c r="O109">
        <v>1560</v>
      </c>
      <c r="Q109">
        <v>2860</v>
      </c>
      <c r="R109">
        <v>2080</v>
      </c>
      <c r="S109">
        <v>6240</v>
      </c>
      <c r="AC109" t="s">
        <v>234</v>
      </c>
    </row>
    <row r="110" spans="1:29" ht="12.75">
      <c r="A110" t="str">
        <f>"6710652D34"</f>
        <v>6710652D34</v>
      </c>
      <c r="B110" t="str">
        <f>"02406911202"</f>
        <v>02406911202</v>
      </c>
      <c r="C110" t="s">
        <v>13</v>
      </c>
      <c r="D110" t="s">
        <v>30</v>
      </c>
      <c r="E110" t="s">
        <v>260</v>
      </c>
      <c r="F110" t="s">
        <v>32</v>
      </c>
      <c r="G110" t="str">
        <f>"86041790152"</f>
        <v>86041790152</v>
      </c>
      <c r="I110" t="s">
        <v>261</v>
      </c>
      <c r="L110" t="s">
        <v>34</v>
      </c>
      <c r="M110">
        <v>390</v>
      </c>
      <c r="N110">
        <v>390</v>
      </c>
      <c r="AC110" t="s">
        <v>234</v>
      </c>
    </row>
    <row r="111" spans="1:29" ht="12.75">
      <c r="A111" t="str">
        <f>"6710688AEA"</f>
        <v>6710688AEA</v>
      </c>
      <c r="B111" t="str">
        <f>"02406911202"</f>
        <v>02406911202</v>
      </c>
      <c r="C111" t="s">
        <v>13</v>
      </c>
      <c r="D111" t="s">
        <v>30</v>
      </c>
      <c r="E111" t="s">
        <v>262</v>
      </c>
      <c r="F111" t="s">
        <v>32</v>
      </c>
      <c r="G111" t="str">
        <f>"10994940152"</f>
        <v>10994940152</v>
      </c>
      <c r="I111" t="s">
        <v>257</v>
      </c>
      <c r="L111" t="s">
        <v>34</v>
      </c>
      <c r="M111">
        <v>60683</v>
      </c>
      <c r="N111">
        <v>40000</v>
      </c>
      <c r="O111">
        <v>4333.33</v>
      </c>
      <c r="Q111">
        <v>4755.67</v>
      </c>
      <c r="R111">
        <v>1930</v>
      </c>
      <c r="S111">
        <v>9664</v>
      </c>
      <c r="AC111" t="s">
        <v>234</v>
      </c>
    </row>
    <row r="112" spans="1:29" ht="12.75">
      <c r="A112" t="str">
        <f>"6710694FDC"</f>
        <v>6710694FDC</v>
      </c>
      <c r="B112" t="str">
        <f>"02406911202"</f>
        <v>02406911202</v>
      </c>
      <c r="C112" t="s">
        <v>13</v>
      </c>
      <c r="D112" t="s">
        <v>30</v>
      </c>
      <c r="E112" t="s">
        <v>255</v>
      </c>
      <c r="F112" t="s">
        <v>32</v>
      </c>
      <c r="G112" t="str">
        <f>"01418430359"</f>
        <v>01418430359</v>
      </c>
      <c r="I112" t="s">
        <v>263</v>
      </c>
      <c r="L112" t="s">
        <v>34</v>
      </c>
      <c r="M112">
        <v>4890</v>
      </c>
      <c r="N112">
        <v>2390</v>
      </c>
      <c r="O112">
        <v>1646.67</v>
      </c>
      <c r="S112">
        <v>853.33</v>
      </c>
      <c r="AC112" t="s">
        <v>234</v>
      </c>
    </row>
    <row r="113" spans="1:29" ht="12.75">
      <c r="A113" t="str">
        <f>"6717065962"</f>
        <v>6717065962</v>
      </c>
      <c r="B113" t="str">
        <f>"02406911202"</f>
        <v>02406911202</v>
      </c>
      <c r="C113" t="s">
        <v>13</v>
      </c>
      <c r="D113" t="s">
        <v>30</v>
      </c>
      <c r="E113" t="s">
        <v>264</v>
      </c>
      <c r="F113" t="s">
        <v>32</v>
      </c>
      <c r="G113" t="str">
        <f>"93027710016"</f>
        <v>93027710016</v>
      </c>
      <c r="I113" t="s">
        <v>265</v>
      </c>
      <c r="L113" t="s">
        <v>34</v>
      </c>
      <c r="M113">
        <v>20964</v>
      </c>
      <c r="O113">
        <v>20964</v>
      </c>
      <c r="AC113" t="s">
        <v>194</v>
      </c>
    </row>
    <row r="114" spans="1:29" ht="12.75">
      <c r="A114" t="str">
        <f>"6721375E1A"</f>
        <v>6721375E1A</v>
      </c>
      <c r="B114" t="str">
        <f>"02406911202"</f>
        <v>02406911202</v>
      </c>
      <c r="C114" t="s">
        <v>13</v>
      </c>
      <c r="D114" t="s">
        <v>30</v>
      </c>
      <c r="E114" t="s">
        <v>266</v>
      </c>
      <c r="F114" t="s">
        <v>32</v>
      </c>
      <c r="G114" t="str">
        <f>"09933630155"</f>
        <v>09933630155</v>
      </c>
      <c r="I114" t="s">
        <v>267</v>
      </c>
      <c r="L114" t="s">
        <v>34</v>
      </c>
      <c r="AC114" t="s">
        <v>206</v>
      </c>
    </row>
    <row r="115" spans="1:29" ht="12.75">
      <c r="A115" t="str">
        <f>"6721375E1A"</f>
        <v>6721375E1A</v>
      </c>
      <c r="B115" t="str">
        <f>"02406911202"</f>
        <v>02406911202</v>
      </c>
      <c r="C115" t="s">
        <v>13</v>
      </c>
      <c r="D115" t="s">
        <v>30</v>
      </c>
      <c r="E115" t="s">
        <v>266</v>
      </c>
      <c r="F115" t="s">
        <v>32</v>
      </c>
      <c r="G115" t="str">
        <f>"02705540165"</f>
        <v>02705540165</v>
      </c>
      <c r="I115" t="s">
        <v>268</v>
      </c>
      <c r="L115" t="s">
        <v>91</v>
      </c>
      <c r="AC115" t="s">
        <v>206</v>
      </c>
    </row>
    <row r="116" spans="1:29" ht="12.75">
      <c r="A116" t="str">
        <f>"6721375E1A"</f>
        <v>6721375E1A</v>
      </c>
      <c r="B116" t="str">
        <f>"02406911202"</f>
        <v>02406911202</v>
      </c>
      <c r="C116" t="s">
        <v>13</v>
      </c>
      <c r="D116" t="s">
        <v>30</v>
      </c>
      <c r="E116" t="s">
        <v>266</v>
      </c>
      <c r="F116" t="s">
        <v>32</v>
      </c>
      <c r="G116" t="str">
        <f>"06754140157"</f>
        <v>06754140157</v>
      </c>
      <c r="I116" t="s">
        <v>269</v>
      </c>
      <c r="L116" t="s">
        <v>91</v>
      </c>
      <c r="AC116" t="s">
        <v>206</v>
      </c>
    </row>
    <row r="117" spans="1:29" ht="12.75">
      <c r="A117" t="str">
        <f>"65761667DA"</f>
        <v>65761667DA</v>
      </c>
      <c r="B117" t="str">
        <f>"02406911202"</f>
        <v>02406911202</v>
      </c>
      <c r="C117" t="s">
        <v>13</v>
      </c>
      <c r="D117" t="s">
        <v>30</v>
      </c>
      <c r="E117" t="s">
        <v>270</v>
      </c>
      <c r="F117" t="s">
        <v>32</v>
      </c>
      <c r="G117" t="str">
        <f>"00323310375"</f>
        <v>00323310375</v>
      </c>
      <c r="I117" t="s">
        <v>271</v>
      </c>
      <c r="L117" t="s">
        <v>34</v>
      </c>
      <c r="M117">
        <v>180000</v>
      </c>
      <c r="P117">
        <v>180000</v>
      </c>
      <c r="AC117" t="s">
        <v>272</v>
      </c>
    </row>
    <row r="118" spans="1:29" ht="12.75">
      <c r="A118" t="str">
        <f>"65761667DA"</f>
        <v>65761667DA</v>
      </c>
      <c r="B118" t="str">
        <f>"02406911202"</f>
        <v>02406911202</v>
      </c>
      <c r="C118" t="s">
        <v>13</v>
      </c>
      <c r="D118" t="s">
        <v>30</v>
      </c>
      <c r="E118" t="s">
        <v>270</v>
      </c>
      <c r="F118" t="s">
        <v>32</v>
      </c>
      <c r="G118" t="str">
        <f>"10181220152"</f>
        <v>10181220152</v>
      </c>
      <c r="I118" t="s">
        <v>103</v>
      </c>
      <c r="L118" t="s">
        <v>91</v>
      </c>
      <c r="AC118" t="s">
        <v>272</v>
      </c>
    </row>
    <row r="119" spans="1:29" ht="12.75">
      <c r="A119" t="str">
        <f>"65761667DA"</f>
        <v>65761667DA</v>
      </c>
      <c r="B119" t="str">
        <f>"02406911202"</f>
        <v>02406911202</v>
      </c>
      <c r="C119" t="s">
        <v>13</v>
      </c>
      <c r="D119" t="s">
        <v>30</v>
      </c>
      <c r="E119" t="s">
        <v>270</v>
      </c>
      <c r="F119" t="s">
        <v>32</v>
      </c>
      <c r="G119" t="str">
        <f>"00803890151"</f>
        <v>00803890151</v>
      </c>
      <c r="I119" t="s">
        <v>273</v>
      </c>
      <c r="L119" t="s">
        <v>91</v>
      </c>
      <c r="AC119" t="s">
        <v>272</v>
      </c>
    </row>
    <row r="120" spans="1:29" ht="12.75">
      <c r="A120" t="str">
        <f>"65761667DA"</f>
        <v>65761667DA</v>
      </c>
      <c r="B120" t="str">
        <f>"02406911202"</f>
        <v>02406911202</v>
      </c>
      <c r="C120" t="s">
        <v>13</v>
      </c>
      <c r="D120" t="s">
        <v>30</v>
      </c>
      <c r="E120" t="s">
        <v>270</v>
      </c>
      <c r="F120" t="s">
        <v>32</v>
      </c>
      <c r="G120" t="str">
        <f>"13144290155"</f>
        <v>13144290155</v>
      </c>
      <c r="I120" t="s">
        <v>101</v>
      </c>
      <c r="L120" t="s">
        <v>91</v>
      </c>
      <c r="AC120" t="s">
        <v>272</v>
      </c>
    </row>
    <row r="121" spans="1:29" ht="12.75">
      <c r="A121" t="str">
        <f>"65761667DA"</f>
        <v>65761667DA</v>
      </c>
      <c r="B121" t="str">
        <f>"02406911202"</f>
        <v>02406911202</v>
      </c>
      <c r="C121" t="s">
        <v>13</v>
      </c>
      <c r="D121" t="s">
        <v>30</v>
      </c>
      <c r="E121" t="s">
        <v>270</v>
      </c>
      <c r="F121" t="s">
        <v>32</v>
      </c>
      <c r="G121" t="str">
        <f>"00615700374"</f>
        <v>00615700374</v>
      </c>
      <c r="I121" t="s">
        <v>93</v>
      </c>
      <c r="L121" t="s">
        <v>91</v>
      </c>
      <c r="AC121" t="s">
        <v>272</v>
      </c>
    </row>
    <row r="122" spans="1:30" ht="12.75">
      <c r="A122" t="str">
        <f>"67160904CB"</f>
        <v>67160904CB</v>
      </c>
      <c r="B122" t="str">
        <f>"02406911202"</f>
        <v>02406911202</v>
      </c>
      <c r="C122" t="s">
        <v>13</v>
      </c>
      <c r="D122" t="s">
        <v>30</v>
      </c>
      <c r="E122" t="s">
        <v>274</v>
      </c>
      <c r="F122" t="s">
        <v>32</v>
      </c>
      <c r="G122" t="str">
        <f>"09238800156"</f>
        <v>09238800156</v>
      </c>
      <c r="I122" t="s">
        <v>72</v>
      </c>
      <c r="L122" t="s">
        <v>34</v>
      </c>
      <c r="M122">
        <v>30600</v>
      </c>
      <c r="O122">
        <v>30600</v>
      </c>
      <c r="AC122" t="s">
        <v>199</v>
      </c>
      <c r="AD122" t="s">
        <v>275</v>
      </c>
    </row>
    <row r="123" spans="1:29" ht="12.75">
      <c r="A123" t="str">
        <f>"6705056340"</f>
        <v>6705056340</v>
      </c>
      <c r="B123" t="str">
        <f>"02406911202"</f>
        <v>02406911202</v>
      </c>
      <c r="C123" t="s">
        <v>13</v>
      </c>
      <c r="D123" t="s">
        <v>30</v>
      </c>
      <c r="E123" t="s">
        <v>276</v>
      </c>
      <c r="F123" t="s">
        <v>32</v>
      </c>
      <c r="G123" t="str">
        <f>"00735390155"</f>
        <v>00735390155</v>
      </c>
      <c r="I123" t="s">
        <v>156</v>
      </c>
      <c r="L123" t="s">
        <v>34</v>
      </c>
      <c r="M123">
        <v>8538.75</v>
      </c>
      <c r="O123">
        <v>8538.75</v>
      </c>
      <c r="AC123" t="s">
        <v>35</v>
      </c>
    </row>
    <row r="124" spans="1:29" ht="12.75">
      <c r="A124" t="str">
        <f>"6705069DF7"</f>
        <v>6705069DF7</v>
      </c>
      <c r="B124" t="str">
        <f>"02406911202"</f>
        <v>02406911202</v>
      </c>
      <c r="C124" t="s">
        <v>13</v>
      </c>
      <c r="D124" t="s">
        <v>30</v>
      </c>
      <c r="E124" t="s">
        <v>276</v>
      </c>
      <c r="F124" t="s">
        <v>32</v>
      </c>
      <c r="G124" t="str">
        <f>"00421210485"</f>
        <v>00421210485</v>
      </c>
      <c r="I124" t="s">
        <v>147</v>
      </c>
      <c r="L124" t="s">
        <v>34</v>
      </c>
      <c r="M124">
        <v>841</v>
      </c>
      <c r="AC124" t="s">
        <v>35</v>
      </c>
    </row>
    <row r="125" spans="1:29" ht="12.75">
      <c r="A125" t="str">
        <f>"6705090F4B"</f>
        <v>6705090F4B</v>
      </c>
      <c r="B125" t="str">
        <f>"02406911202"</f>
        <v>02406911202</v>
      </c>
      <c r="C125" t="s">
        <v>13</v>
      </c>
      <c r="D125" t="s">
        <v>30</v>
      </c>
      <c r="E125" t="s">
        <v>276</v>
      </c>
      <c r="F125" t="s">
        <v>32</v>
      </c>
      <c r="G125" t="str">
        <f>"11187430159"</f>
        <v>11187430159</v>
      </c>
      <c r="I125" t="s">
        <v>152</v>
      </c>
      <c r="L125" t="s">
        <v>34</v>
      </c>
      <c r="M125">
        <v>125999.82</v>
      </c>
      <c r="O125">
        <v>125999.82</v>
      </c>
      <c r="AC125" t="s">
        <v>35</v>
      </c>
    </row>
    <row r="126" spans="1:29" ht="12.75">
      <c r="A126" t="str">
        <f>"6705104ADA"</f>
        <v>6705104ADA</v>
      </c>
      <c r="B126" t="str">
        <f>"02406911202"</f>
        <v>02406911202</v>
      </c>
      <c r="C126" t="s">
        <v>13</v>
      </c>
      <c r="D126" t="s">
        <v>30</v>
      </c>
      <c r="E126" t="s">
        <v>276</v>
      </c>
      <c r="F126" t="s">
        <v>32</v>
      </c>
      <c r="G126" t="str">
        <f>"00962280590"</f>
        <v>00962280590</v>
      </c>
      <c r="I126" t="s">
        <v>153</v>
      </c>
      <c r="L126" t="s">
        <v>34</v>
      </c>
      <c r="M126">
        <v>285012.56</v>
      </c>
      <c r="O126">
        <v>285012.56</v>
      </c>
      <c r="AC126" t="s">
        <v>35</v>
      </c>
    </row>
    <row r="127" spans="1:29" ht="12.75">
      <c r="A127" t="str">
        <f>"6705123A88"</f>
        <v>6705123A88</v>
      </c>
      <c r="B127" t="str">
        <f>"02406911202"</f>
        <v>02406911202</v>
      </c>
      <c r="C127" t="s">
        <v>13</v>
      </c>
      <c r="D127" t="s">
        <v>30</v>
      </c>
      <c r="E127" t="s">
        <v>276</v>
      </c>
      <c r="F127" t="s">
        <v>32</v>
      </c>
      <c r="G127" t="str">
        <f>"00696360155"</f>
        <v>00696360155</v>
      </c>
      <c r="I127" t="s">
        <v>277</v>
      </c>
      <c r="L127" t="s">
        <v>34</v>
      </c>
      <c r="M127">
        <v>1674.14</v>
      </c>
      <c r="O127">
        <v>1674.14</v>
      </c>
      <c r="AC127" t="s">
        <v>35</v>
      </c>
    </row>
    <row r="128" spans="1:29" ht="12.75">
      <c r="A128" t="str">
        <f>"67051332CB"</f>
        <v>67051332CB</v>
      </c>
      <c r="B128" t="str">
        <f>"02406911202"</f>
        <v>02406911202</v>
      </c>
      <c r="C128" t="s">
        <v>13</v>
      </c>
      <c r="D128" t="s">
        <v>30</v>
      </c>
      <c r="E128" t="s">
        <v>276</v>
      </c>
      <c r="F128" t="s">
        <v>32</v>
      </c>
      <c r="G128" t="str">
        <f>"11116290153"</f>
        <v>11116290153</v>
      </c>
      <c r="I128" t="s">
        <v>278</v>
      </c>
      <c r="L128" t="s">
        <v>34</v>
      </c>
      <c r="M128">
        <v>1595.7</v>
      </c>
      <c r="O128">
        <v>1595.7</v>
      </c>
      <c r="AA128" t="s">
        <v>35</v>
      </c>
      <c r="AB128" t="s">
        <v>279</v>
      </c>
      <c r="AC128" t="s">
        <v>35</v>
      </c>
    </row>
    <row r="129" spans="1:29" ht="12.75">
      <c r="A129" t="str">
        <f>"6705147E55"</f>
        <v>6705147E55</v>
      </c>
      <c r="B129" t="str">
        <f>"02406911202"</f>
        <v>02406911202</v>
      </c>
      <c r="C129" t="s">
        <v>13</v>
      </c>
      <c r="D129" t="s">
        <v>30</v>
      </c>
      <c r="E129" t="s">
        <v>276</v>
      </c>
      <c r="F129" t="s">
        <v>32</v>
      </c>
      <c r="G129" t="str">
        <f>"01554220192"</f>
        <v>01554220192</v>
      </c>
      <c r="I129" t="s">
        <v>280</v>
      </c>
      <c r="L129" t="s">
        <v>34</v>
      </c>
      <c r="M129">
        <v>1940.27</v>
      </c>
      <c r="O129">
        <v>1940.27</v>
      </c>
      <c r="AC129" t="s">
        <v>35</v>
      </c>
    </row>
    <row r="130" spans="1:29" ht="12.75">
      <c r="A130" t="str">
        <f>"67051722FA"</f>
        <v>67051722FA</v>
      </c>
      <c r="B130" t="str">
        <f>"02406911202"</f>
        <v>02406911202</v>
      </c>
      <c r="C130" t="s">
        <v>13</v>
      </c>
      <c r="D130" t="s">
        <v>30</v>
      </c>
      <c r="E130" t="s">
        <v>276</v>
      </c>
      <c r="F130" t="s">
        <v>32</v>
      </c>
      <c r="H130" t="str">
        <f>"DE1442WW"</f>
        <v>DE1442WW</v>
      </c>
      <c r="I130" t="s">
        <v>281</v>
      </c>
      <c r="L130" t="s">
        <v>34</v>
      </c>
      <c r="M130">
        <v>39389.26</v>
      </c>
      <c r="O130">
        <v>39389.26</v>
      </c>
      <c r="AC130" t="s">
        <v>35</v>
      </c>
    </row>
    <row r="131" spans="1:29" ht="12.75">
      <c r="A131" t="str">
        <f>"6705225EB3"</f>
        <v>6705225EB3</v>
      </c>
      <c r="B131" t="str">
        <f>"02406911202"</f>
        <v>02406911202</v>
      </c>
      <c r="C131" t="s">
        <v>13</v>
      </c>
      <c r="D131" t="s">
        <v>30</v>
      </c>
      <c r="E131" t="s">
        <v>276</v>
      </c>
      <c r="F131" t="s">
        <v>32</v>
      </c>
      <c r="G131" t="str">
        <f>"00422760587"</f>
        <v>00422760587</v>
      </c>
      <c r="I131" t="s">
        <v>282</v>
      </c>
      <c r="L131" t="s">
        <v>34</v>
      </c>
      <c r="M131">
        <v>287952</v>
      </c>
      <c r="O131">
        <v>287952</v>
      </c>
      <c r="AC131" t="s">
        <v>35</v>
      </c>
    </row>
    <row r="132" spans="1:29" ht="12.75">
      <c r="A132" t="str">
        <f>"67194319DE"</f>
        <v>67194319DE</v>
      </c>
      <c r="B132" t="str">
        <f>"02406911202"</f>
        <v>02406911202</v>
      </c>
      <c r="C132" t="s">
        <v>13</v>
      </c>
      <c r="D132" t="s">
        <v>30</v>
      </c>
      <c r="E132" t="s">
        <v>283</v>
      </c>
      <c r="F132" t="s">
        <v>32</v>
      </c>
      <c r="G132" t="str">
        <f>"00082130592"</f>
        <v>00082130592</v>
      </c>
      <c r="I132" t="s">
        <v>284</v>
      </c>
      <c r="L132" t="s">
        <v>34</v>
      </c>
      <c r="M132">
        <v>1636064.08</v>
      </c>
      <c r="N132">
        <v>102746.28</v>
      </c>
      <c r="O132">
        <v>1533317.8</v>
      </c>
      <c r="AC132" t="s">
        <v>206</v>
      </c>
    </row>
    <row r="133" spans="1:29" ht="12.75">
      <c r="A133" t="str">
        <f>"674124073A"</f>
        <v>674124073A</v>
      </c>
      <c r="B133" t="str">
        <f>"02406911202"</f>
        <v>02406911202</v>
      </c>
      <c r="C133" t="s">
        <v>13</v>
      </c>
      <c r="D133" t="s">
        <v>30</v>
      </c>
      <c r="E133" t="s">
        <v>285</v>
      </c>
      <c r="F133" t="s">
        <v>46</v>
      </c>
      <c r="G133" t="str">
        <f>"06991390961"</f>
        <v>06991390961</v>
      </c>
      <c r="I133" t="s">
        <v>286</v>
      </c>
      <c r="L133" t="s">
        <v>34</v>
      </c>
      <c r="M133">
        <v>214665</v>
      </c>
      <c r="N133">
        <v>40000</v>
      </c>
      <c r="O133">
        <v>55510</v>
      </c>
      <c r="Q133">
        <v>57655</v>
      </c>
      <c r="S133">
        <v>61500</v>
      </c>
      <c r="AC133" t="s">
        <v>287</v>
      </c>
    </row>
    <row r="134" spans="1:29" ht="12.75">
      <c r="A134" t="str">
        <f>"6741481E19"</f>
        <v>6741481E19</v>
      </c>
      <c r="B134" t="str">
        <f>"02406911202"</f>
        <v>02406911202</v>
      </c>
      <c r="C134" t="s">
        <v>13</v>
      </c>
      <c r="D134" t="s">
        <v>30</v>
      </c>
      <c r="E134" t="s">
        <v>288</v>
      </c>
      <c r="F134" t="s">
        <v>32</v>
      </c>
      <c r="G134" t="str">
        <f>"00747880151"</f>
        <v>00747880151</v>
      </c>
      <c r="I134" t="s">
        <v>289</v>
      </c>
      <c r="L134" t="s">
        <v>34</v>
      </c>
      <c r="M134">
        <v>93000</v>
      </c>
      <c r="O134">
        <v>93000</v>
      </c>
      <c r="AC134" t="s">
        <v>290</v>
      </c>
    </row>
    <row r="135" spans="1:29" ht="12.75">
      <c r="A135" t="str">
        <f>"67384118A9"</f>
        <v>67384118A9</v>
      </c>
      <c r="B135" t="str">
        <f>"02406911202"</f>
        <v>02406911202</v>
      </c>
      <c r="C135" t="s">
        <v>13</v>
      </c>
      <c r="D135" t="s">
        <v>30</v>
      </c>
      <c r="E135" t="s">
        <v>291</v>
      </c>
      <c r="F135" t="s">
        <v>32</v>
      </c>
      <c r="G135" t="str">
        <f>"00420240376"</f>
        <v>00420240376</v>
      </c>
      <c r="I135" t="s">
        <v>292</v>
      </c>
      <c r="L135" t="s">
        <v>34</v>
      </c>
      <c r="M135">
        <v>165000</v>
      </c>
      <c r="O135">
        <v>165000</v>
      </c>
      <c r="AC135" t="s">
        <v>293</v>
      </c>
    </row>
    <row r="136" spans="1:29" ht="12.75">
      <c r="A136" t="str">
        <f>"66944177AA"</f>
        <v>66944177AA</v>
      </c>
      <c r="B136" t="str">
        <f>"02406911202"</f>
        <v>02406911202</v>
      </c>
      <c r="C136" t="s">
        <v>13</v>
      </c>
      <c r="D136" t="s">
        <v>30</v>
      </c>
      <c r="E136" t="s">
        <v>294</v>
      </c>
      <c r="F136" t="s">
        <v>32</v>
      </c>
      <c r="G136" t="str">
        <f>"06068041000"</f>
        <v>06068041000</v>
      </c>
      <c r="I136" t="s">
        <v>295</v>
      </c>
      <c r="L136" t="s">
        <v>34</v>
      </c>
      <c r="M136">
        <v>1700300</v>
      </c>
      <c r="O136">
        <v>1700300</v>
      </c>
      <c r="AC136" t="s">
        <v>234</v>
      </c>
    </row>
    <row r="137" spans="1:29" ht="12.75">
      <c r="A137" t="str">
        <f>"6694424D6F"</f>
        <v>6694424D6F</v>
      </c>
      <c r="B137" t="str">
        <f>"02406911202"</f>
        <v>02406911202</v>
      </c>
      <c r="C137" t="s">
        <v>13</v>
      </c>
      <c r="D137" t="s">
        <v>30</v>
      </c>
      <c r="E137" t="s">
        <v>296</v>
      </c>
      <c r="F137" t="s">
        <v>32</v>
      </c>
      <c r="G137" t="str">
        <f>"08230471008"</f>
        <v>08230471008</v>
      </c>
      <c r="I137" t="s">
        <v>297</v>
      </c>
      <c r="L137" t="s">
        <v>34</v>
      </c>
      <c r="M137">
        <v>39000</v>
      </c>
      <c r="O137">
        <v>39000</v>
      </c>
      <c r="AC137" t="s">
        <v>97</v>
      </c>
    </row>
    <row r="138" spans="1:29" ht="12.75">
      <c r="A138" t="str">
        <f>"672051693D"</f>
        <v>672051693D</v>
      </c>
      <c r="B138" t="str">
        <f>"02406911202"</f>
        <v>02406911202</v>
      </c>
      <c r="C138" t="s">
        <v>13</v>
      </c>
      <c r="D138" t="s">
        <v>30</v>
      </c>
      <c r="E138" t="s">
        <v>298</v>
      </c>
      <c r="F138" t="s">
        <v>32</v>
      </c>
      <c r="G138" t="str">
        <f>"02154270595"</f>
        <v>02154270595</v>
      </c>
      <c r="I138" t="s">
        <v>299</v>
      </c>
      <c r="L138" t="s">
        <v>34</v>
      </c>
      <c r="M138">
        <v>242156</v>
      </c>
      <c r="N138">
        <v>157136</v>
      </c>
      <c r="O138">
        <v>85020</v>
      </c>
      <c r="AC138" t="s">
        <v>300</v>
      </c>
    </row>
    <row r="139" spans="1:30" ht="12.75">
      <c r="A139" t="str">
        <f>"668525816D"</f>
        <v>668525816D</v>
      </c>
      <c r="B139" t="str">
        <f>"02406911202"</f>
        <v>02406911202</v>
      </c>
      <c r="C139" t="s">
        <v>13</v>
      </c>
      <c r="D139" t="s">
        <v>30</v>
      </c>
      <c r="E139" t="s">
        <v>301</v>
      </c>
      <c r="F139" t="s">
        <v>32</v>
      </c>
      <c r="G139" t="str">
        <f>"04688091000"</f>
        <v>04688091000</v>
      </c>
      <c r="I139" t="s">
        <v>302</v>
      </c>
      <c r="L139" t="s">
        <v>34</v>
      </c>
      <c r="M139">
        <v>0</v>
      </c>
      <c r="AC139" t="s">
        <v>303</v>
      </c>
      <c r="AD139" t="s">
        <v>304</v>
      </c>
    </row>
    <row r="140" spans="1:29" ht="12.75">
      <c r="A140" t="str">
        <f>"66965908E1"</f>
        <v>66965908E1</v>
      </c>
      <c r="B140" t="str">
        <f>"02406911202"</f>
        <v>02406911202</v>
      </c>
      <c r="C140" t="s">
        <v>13</v>
      </c>
      <c r="D140" t="s">
        <v>30</v>
      </c>
      <c r="E140" t="s">
        <v>305</v>
      </c>
      <c r="F140" t="s">
        <v>253</v>
      </c>
      <c r="G140" t="str">
        <f>"08930980969"</f>
        <v>08930980969</v>
      </c>
      <c r="I140" t="s">
        <v>306</v>
      </c>
      <c r="L140" t="s">
        <v>34</v>
      </c>
      <c r="M140">
        <v>131171</v>
      </c>
      <c r="O140">
        <v>131171</v>
      </c>
      <c r="AC140" t="s">
        <v>293</v>
      </c>
    </row>
    <row r="141" spans="1:29" ht="12.75">
      <c r="A141" t="str">
        <f>"670115828"</f>
        <v>670115828</v>
      </c>
      <c r="B141" t="str">
        <f>"02406911202"</f>
        <v>02406911202</v>
      </c>
      <c r="C141" t="s">
        <v>13</v>
      </c>
      <c r="D141" t="s">
        <v>30</v>
      </c>
      <c r="E141" t="s">
        <v>307</v>
      </c>
      <c r="F141" t="s">
        <v>32</v>
      </c>
      <c r="G141" t="str">
        <f>"08230471008"</f>
        <v>08230471008</v>
      </c>
      <c r="I141" t="s">
        <v>297</v>
      </c>
      <c r="L141" t="s">
        <v>34</v>
      </c>
      <c r="M141">
        <v>113104</v>
      </c>
      <c r="O141">
        <v>113104</v>
      </c>
      <c r="AC141" t="s">
        <v>99</v>
      </c>
    </row>
    <row r="142" spans="1:29" ht="12.75">
      <c r="A142" t="str">
        <f>"58398436E4"</f>
        <v>58398436E4</v>
      </c>
      <c r="B142" t="str">
        <f>"02406911202"</f>
        <v>02406911202</v>
      </c>
      <c r="C142" t="s">
        <v>13</v>
      </c>
      <c r="D142" t="s">
        <v>30</v>
      </c>
      <c r="E142" t="s">
        <v>308</v>
      </c>
      <c r="F142" t="s">
        <v>78</v>
      </c>
      <c r="M142">
        <v>40200</v>
      </c>
      <c r="AA142" t="s">
        <v>309</v>
      </c>
      <c r="AB142" t="s">
        <v>180</v>
      </c>
      <c r="AC142" t="s">
        <v>310</v>
      </c>
    </row>
    <row r="143" spans="1:30" ht="12.75">
      <c r="A143" t="str">
        <f>"0000000011"</f>
        <v>0000000011</v>
      </c>
      <c r="B143" t="str">
        <f>"02406911202"</f>
        <v>02406911202</v>
      </c>
      <c r="C143" t="s">
        <v>13</v>
      </c>
      <c r="D143" t="s">
        <v>30</v>
      </c>
      <c r="E143" t="s">
        <v>311</v>
      </c>
      <c r="F143" t="s">
        <v>78</v>
      </c>
      <c r="G143" t="str">
        <f>"02879890982"</f>
        <v>02879890982</v>
      </c>
      <c r="I143" t="s">
        <v>312</v>
      </c>
      <c r="L143" t="s">
        <v>34</v>
      </c>
      <c r="M143">
        <v>40200</v>
      </c>
      <c r="P143">
        <v>40200</v>
      </c>
      <c r="AA143" t="s">
        <v>309</v>
      </c>
      <c r="AB143" t="s">
        <v>180</v>
      </c>
      <c r="AC143" t="s">
        <v>290</v>
      </c>
      <c r="AD143" t="s">
        <v>313</v>
      </c>
    </row>
    <row r="144" spans="1:29" ht="12.75">
      <c r="A144" t="str">
        <f>"6701914264"</f>
        <v>6701914264</v>
      </c>
      <c r="B144" t="str">
        <f>"02406911202"</f>
        <v>02406911202</v>
      </c>
      <c r="C144" t="s">
        <v>13</v>
      </c>
      <c r="D144" t="s">
        <v>30</v>
      </c>
      <c r="E144" t="s">
        <v>314</v>
      </c>
      <c r="F144" t="s">
        <v>32</v>
      </c>
      <c r="G144" t="str">
        <f>"06068041000"</f>
        <v>06068041000</v>
      </c>
      <c r="I144" t="s">
        <v>295</v>
      </c>
      <c r="L144" t="s">
        <v>34</v>
      </c>
      <c r="M144">
        <v>144900</v>
      </c>
      <c r="O144">
        <v>144900</v>
      </c>
      <c r="AC144" t="s">
        <v>35</v>
      </c>
    </row>
    <row r="145" spans="1:29" ht="12.75">
      <c r="A145" t="str">
        <f>"6695804043"</f>
        <v>6695804043</v>
      </c>
      <c r="B145" t="str">
        <f>"02406911202"</f>
        <v>02406911202</v>
      </c>
      <c r="C145" t="s">
        <v>13</v>
      </c>
      <c r="D145" t="s">
        <v>30</v>
      </c>
      <c r="E145" t="s">
        <v>315</v>
      </c>
      <c r="F145" t="s">
        <v>32</v>
      </c>
      <c r="G145" t="str">
        <f>"00803890151"</f>
        <v>00803890151</v>
      </c>
      <c r="I145" t="s">
        <v>273</v>
      </c>
      <c r="L145" t="s">
        <v>34</v>
      </c>
      <c r="M145">
        <v>174780</v>
      </c>
      <c r="O145">
        <v>174780</v>
      </c>
      <c r="AC145" t="s">
        <v>300</v>
      </c>
    </row>
    <row r="146" spans="1:29" ht="12.75">
      <c r="A146" t="str">
        <f>"6695804043"</f>
        <v>6695804043</v>
      </c>
      <c r="B146" t="str">
        <f>"02406911202"</f>
        <v>02406911202</v>
      </c>
      <c r="C146" t="s">
        <v>13</v>
      </c>
      <c r="D146" t="s">
        <v>30</v>
      </c>
      <c r="E146" t="s">
        <v>315</v>
      </c>
      <c r="F146" t="s">
        <v>32</v>
      </c>
      <c r="G146" t="str">
        <f>"00615700374"</f>
        <v>00615700374</v>
      </c>
      <c r="I146" t="s">
        <v>93</v>
      </c>
      <c r="L146" t="s">
        <v>91</v>
      </c>
      <c r="AC146" t="s">
        <v>300</v>
      </c>
    </row>
    <row r="147" spans="1:29" ht="12.75">
      <c r="A147" t="str">
        <f>"6695804043"</f>
        <v>6695804043</v>
      </c>
      <c r="B147" t="str">
        <f>"02406911202"</f>
        <v>02406911202</v>
      </c>
      <c r="C147" t="s">
        <v>13</v>
      </c>
      <c r="D147" t="s">
        <v>30</v>
      </c>
      <c r="E147" t="s">
        <v>315</v>
      </c>
      <c r="F147" t="s">
        <v>32</v>
      </c>
      <c r="G147" t="str">
        <f>"07146020586"</f>
        <v>07146020586</v>
      </c>
      <c r="I147" t="s">
        <v>316</v>
      </c>
      <c r="L147" t="s">
        <v>91</v>
      </c>
      <c r="AC147" t="s">
        <v>300</v>
      </c>
    </row>
    <row r="148" spans="1:29" ht="12.75">
      <c r="A148" t="str">
        <f>"6695804043"</f>
        <v>6695804043</v>
      </c>
      <c r="B148" t="str">
        <f>"02406911202"</f>
        <v>02406911202</v>
      </c>
      <c r="C148" t="s">
        <v>13</v>
      </c>
      <c r="D148" t="s">
        <v>30</v>
      </c>
      <c r="E148" t="s">
        <v>315</v>
      </c>
      <c r="F148" t="s">
        <v>32</v>
      </c>
      <c r="G148" t="str">
        <f>"03273990964"</f>
        <v>03273990964</v>
      </c>
      <c r="I148" t="s">
        <v>317</v>
      </c>
      <c r="L148" t="s">
        <v>91</v>
      </c>
      <c r="AC148" t="s">
        <v>300</v>
      </c>
    </row>
    <row r="149" spans="1:29" ht="12.75">
      <c r="A149" t="str">
        <f>"6695804043"</f>
        <v>6695804043</v>
      </c>
      <c r="B149" t="str">
        <f>"02406911202"</f>
        <v>02406911202</v>
      </c>
      <c r="C149" t="s">
        <v>13</v>
      </c>
      <c r="D149" t="s">
        <v>30</v>
      </c>
      <c r="E149" t="s">
        <v>315</v>
      </c>
      <c r="F149" t="s">
        <v>32</v>
      </c>
      <c r="G149" t="str">
        <f>"04785851009"</f>
        <v>04785851009</v>
      </c>
      <c r="I149" t="s">
        <v>318</v>
      </c>
      <c r="L149" t="s">
        <v>91</v>
      </c>
      <c r="AC149" t="s">
        <v>300</v>
      </c>
    </row>
    <row r="150" spans="1:29" ht="12.75">
      <c r="A150" t="str">
        <f>"6726475EC1"</f>
        <v>6726475EC1</v>
      </c>
      <c r="B150" t="str">
        <f>"02406911202"</f>
        <v>02406911202</v>
      </c>
      <c r="C150" t="s">
        <v>13</v>
      </c>
      <c r="D150" t="s">
        <v>30</v>
      </c>
      <c r="E150" t="s">
        <v>319</v>
      </c>
      <c r="F150" t="s">
        <v>32</v>
      </c>
      <c r="G150" t="str">
        <f>"11187430159"</f>
        <v>11187430159</v>
      </c>
      <c r="I150" t="s">
        <v>152</v>
      </c>
      <c r="L150" t="s">
        <v>34</v>
      </c>
      <c r="M150">
        <v>19600</v>
      </c>
      <c r="N150">
        <v>19600</v>
      </c>
      <c r="AC150" t="s">
        <v>320</v>
      </c>
    </row>
    <row r="151" spans="1:29" ht="12.75">
      <c r="A151" t="str">
        <f>"672648355E"</f>
        <v>672648355E</v>
      </c>
      <c r="B151" t="str">
        <f>"02406911202"</f>
        <v>02406911202</v>
      </c>
      <c r="C151" t="s">
        <v>13</v>
      </c>
      <c r="D151" t="s">
        <v>30</v>
      </c>
      <c r="E151" t="s">
        <v>321</v>
      </c>
      <c r="F151" t="s">
        <v>32</v>
      </c>
      <c r="G151" t="str">
        <f>"05288990962"</f>
        <v>05288990962</v>
      </c>
      <c r="I151" t="s">
        <v>322</v>
      </c>
      <c r="L151" t="s">
        <v>34</v>
      </c>
      <c r="M151">
        <v>17400</v>
      </c>
      <c r="N151">
        <v>17400</v>
      </c>
      <c r="AC151" t="s">
        <v>320</v>
      </c>
    </row>
    <row r="152" spans="1:29" ht="12.75">
      <c r="A152" t="str">
        <f>"6726489A50"</f>
        <v>6726489A50</v>
      </c>
      <c r="B152" t="str">
        <f>"02406911202"</f>
        <v>02406911202</v>
      </c>
      <c r="C152" t="s">
        <v>13</v>
      </c>
      <c r="D152" t="s">
        <v>30</v>
      </c>
      <c r="E152" t="s">
        <v>323</v>
      </c>
      <c r="F152" t="s">
        <v>32</v>
      </c>
      <c r="G152" t="str">
        <f>"07703770151"</f>
        <v>07703770151</v>
      </c>
      <c r="I152" t="s">
        <v>324</v>
      </c>
      <c r="L152" t="s">
        <v>34</v>
      </c>
      <c r="M152">
        <v>207900</v>
      </c>
      <c r="O152">
        <v>207900</v>
      </c>
      <c r="AC152" t="s">
        <v>320</v>
      </c>
    </row>
    <row r="153" spans="1:29" ht="12.75">
      <c r="A153" t="str">
        <f>"67264981C0"</f>
        <v>67264981C0</v>
      </c>
      <c r="B153" t="str">
        <f>"02406911202"</f>
        <v>02406911202</v>
      </c>
      <c r="C153" t="s">
        <v>13</v>
      </c>
      <c r="D153" t="s">
        <v>30</v>
      </c>
      <c r="E153" t="s">
        <v>325</v>
      </c>
      <c r="F153" t="s">
        <v>32</v>
      </c>
      <c r="H153" t="str">
        <f>"GB191144617"</f>
        <v>GB191144617</v>
      </c>
      <c r="I153" t="s">
        <v>326</v>
      </c>
      <c r="L153" t="s">
        <v>34</v>
      </c>
      <c r="M153">
        <v>209183.04</v>
      </c>
      <c r="O153">
        <v>209183.04</v>
      </c>
      <c r="AC153" t="s">
        <v>320</v>
      </c>
    </row>
    <row r="154" spans="1:29" ht="12.75">
      <c r="A154" t="str">
        <f>"6726499293"</f>
        <v>6726499293</v>
      </c>
      <c r="B154" t="str">
        <f>"02406911202"</f>
        <v>02406911202</v>
      </c>
      <c r="C154" t="s">
        <v>13</v>
      </c>
      <c r="D154" t="s">
        <v>30</v>
      </c>
      <c r="E154" t="s">
        <v>327</v>
      </c>
      <c r="F154" t="s">
        <v>32</v>
      </c>
      <c r="G154" t="str">
        <f>"00556960375"</f>
        <v>00556960375</v>
      </c>
      <c r="I154" t="s">
        <v>328</v>
      </c>
      <c r="L154" t="s">
        <v>34</v>
      </c>
      <c r="M154">
        <v>14014</v>
      </c>
      <c r="P154">
        <v>14014</v>
      </c>
      <c r="AC154" t="s">
        <v>320</v>
      </c>
    </row>
    <row r="155" spans="1:29" ht="12.75">
      <c r="A155" t="str">
        <f>"66164589DC"</f>
        <v>66164589DC</v>
      </c>
      <c r="B155" t="str">
        <f>"02406911202"</f>
        <v>02406911202</v>
      </c>
      <c r="C155" t="s">
        <v>13</v>
      </c>
      <c r="D155" t="s">
        <v>30</v>
      </c>
      <c r="E155" t="s">
        <v>329</v>
      </c>
      <c r="F155" t="s">
        <v>32</v>
      </c>
      <c r="G155" t="str">
        <f>"08817300158"</f>
        <v>08817300158</v>
      </c>
      <c r="I155" t="s">
        <v>330</v>
      </c>
      <c r="L155" t="s">
        <v>34</v>
      </c>
      <c r="M155">
        <v>25148</v>
      </c>
      <c r="Q155">
        <v>17068</v>
      </c>
      <c r="R155">
        <v>8080</v>
      </c>
      <c r="AC155" t="s">
        <v>331</v>
      </c>
    </row>
    <row r="156" spans="1:29" ht="12.75">
      <c r="A156" t="str">
        <f>"671742634C"</f>
        <v>671742634C</v>
      </c>
      <c r="B156" t="str">
        <f>"02406911202"</f>
        <v>02406911202</v>
      </c>
      <c r="C156" t="s">
        <v>13</v>
      </c>
      <c r="D156" t="s">
        <v>30</v>
      </c>
      <c r="E156" t="s">
        <v>332</v>
      </c>
      <c r="F156" t="s">
        <v>32</v>
      </c>
      <c r="G156" t="str">
        <f>"13039021004"</f>
        <v>13039021004</v>
      </c>
      <c r="I156" t="s">
        <v>333</v>
      </c>
      <c r="L156" t="s">
        <v>34</v>
      </c>
      <c r="M156">
        <v>68112</v>
      </c>
      <c r="O156">
        <v>68112</v>
      </c>
      <c r="AC156" t="s">
        <v>199</v>
      </c>
    </row>
    <row r="157" spans="1:29" ht="12.75">
      <c r="A157" t="str">
        <f>"6727986DAC"</f>
        <v>6727986DAC</v>
      </c>
      <c r="B157" t="str">
        <f>"02406911202"</f>
        <v>02406911202</v>
      </c>
      <c r="C157" t="s">
        <v>13</v>
      </c>
      <c r="D157" t="s">
        <v>30</v>
      </c>
      <c r="E157" t="s">
        <v>334</v>
      </c>
      <c r="F157" t="s">
        <v>32</v>
      </c>
      <c r="G157" t="str">
        <f>"03859880969"</f>
        <v>03859880969</v>
      </c>
      <c r="I157" t="s">
        <v>335</v>
      </c>
      <c r="L157" t="s">
        <v>34</v>
      </c>
      <c r="M157">
        <v>373394</v>
      </c>
      <c r="N157">
        <v>18476</v>
      </c>
      <c r="O157">
        <v>223500</v>
      </c>
      <c r="P157">
        <v>4768</v>
      </c>
      <c r="Q157">
        <v>8940</v>
      </c>
      <c r="R157">
        <v>10430</v>
      </c>
      <c r="S157">
        <v>107280</v>
      </c>
      <c r="AC157" t="s">
        <v>336</v>
      </c>
    </row>
    <row r="158" spans="1:29" ht="12.75">
      <c r="A158" t="str">
        <f>"6682638F51"</f>
        <v>6682638F51</v>
      </c>
      <c r="B158" t="str">
        <f>"02406911202"</f>
        <v>02406911202</v>
      </c>
      <c r="C158" t="s">
        <v>13</v>
      </c>
      <c r="D158" t="s">
        <v>30</v>
      </c>
      <c r="E158" t="s">
        <v>337</v>
      </c>
      <c r="F158" t="s">
        <v>32</v>
      </c>
      <c r="G158" t="str">
        <f>"01896541206"</f>
        <v>01896541206</v>
      </c>
      <c r="I158" t="s">
        <v>338</v>
      </c>
      <c r="L158" t="s">
        <v>34</v>
      </c>
      <c r="M158">
        <v>132600</v>
      </c>
      <c r="Q158">
        <v>132600</v>
      </c>
      <c r="AC158" t="s">
        <v>339</v>
      </c>
    </row>
    <row r="159" spans="1:29" ht="12.75">
      <c r="A159" t="str">
        <f>"6682638F51"</f>
        <v>6682638F51</v>
      </c>
      <c r="B159" t="str">
        <f>"02406911202"</f>
        <v>02406911202</v>
      </c>
      <c r="C159" t="s">
        <v>13</v>
      </c>
      <c r="D159" t="s">
        <v>30</v>
      </c>
      <c r="E159" t="s">
        <v>337</v>
      </c>
      <c r="F159" t="s">
        <v>32</v>
      </c>
      <c r="G159" t="str">
        <f>"00353700347"</f>
        <v>00353700347</v>
      </c>
      <c r="I159" t="s">
        <v>340</v>
      </c>
      <c r="L159" t="s">
        <v>91</v>
      </c>
      <c r="AC159" t="s">
        <v>339</v>
      </c>
    </row>
    <row r="160" spans="1:29" ht="12.75">
      <c r="A160" t="str">
        <f>"6682638F51"</f>
        <v>6682638F51</v>
      </c>
      <c r="B160" t="str">
        <f>"02406911202"</f>
        <v>02406911202</v>
      </c>
      <c r="C160" t="s">
        <v>13</v>
      </c>
      <c r="D160" t="s">
        <v>30</v>
      </c>
      <c r="E160" t="s">
        <v>337</v>
      </c>
      <c r="F160" t="s">
        <v>32</v>
      </c>
      <c r="G160" t="str">
        <f>"00310940374"</f>
        <v>00310940374</v>
      </c>
      <c r="I160" t="s">
        <v>341</v>
      </c>
      <c r="L160" t="s">
        <v>91</v>
      </c>
      <c r="AC160" t="s">
        <v>339</v>
      </c>
    </row>
    <row r="161" spans="1:29" ht="12.75">
      <c r="A161" t="str">
        <f>"6682638F51"</f>
        <v>6682638F51</v>
      </c>
      <c r="B161" t="str">
        <f>"02406911202"</f>
        <v>02406911202</v>
      </c>
      <c r="C161" t="s">
        <v>13</v>
      </c>
      <c r="D161" t="s">
        <v>30</v>
      </c>
      <c r="E161" t="s">
        <v>337</v>
      </c>
      <c r="F161" t="s">
        <v>32</v>
      </c>
      <c r="G161" t="str">
        <f>"02062440355"</f>
        <v>02062440355</v>
      </c>
      <c r="I161" t="s">
        <v>342</v>
      </c>
      <c r="L161" t="s">
        <v>91</v>
      </c>
      <c r="AC161" t="s">
        <v>339</v>
      </c>
    </row>
    <row r="162" spans="1:29" ht="12.75">
      <c r="A162" t="str">
        <f>"6682638F51"</f>
        <v>6682638F51</v>
      </c>
      <c r="B162" t="str">
        <f>"02406911202"</f>
        <v>02406911202</v>
      </c>
      <c r="C162" t="s">
        <v>13</v>
      </c>
      <c r="D162" t="s">
        <v>30</v>
      </c>
      <c r="E162" t="s">
        <v>337</v>
      </c>
      <c r="F162" t="s">
        <v>32</v>
      </c>
      <c r="G162" t="str">
        <f>"00932190044"</f>
        <v>00932190044</v>
      </c>
      <c r="I162" t="s">
        <v>343</v>
      </c>
      <c r="L162" t="s">
        <v>91</v>
      </c>
      <c r="AC162" t="s">
        <v>339</v>
      </c>
    </row>
    <row r="163" spans="1:29" ht="12.75">
      <c r="A163" t="str">
        <f>"66826476C1"</f>
        <v>66826476C1</v>
      </c>
      <c r="B163" t="str">
        <f>"02406911202"</f>
        <v>02406911202</v>
      </c>
      <c r="C163" t="s">
        <v>13</v>
      </c>
      <c r="D163" t="s">
        <v>30</v>
      </c>
      <c r="E163" t="s">
        <v>344</v>
      </c>
      <c r="F163" t="s">
        <v>32</v>
      </c>
      <c r="G163" t="str">
        <f>"01896541206"</f>
        <v>01896541206</v>
      </c>
      <c r="I163" t="s">
        <v>338</v>
      </c>
      <c r="L163" t="s">
        <v>34</v>
      </c>
      <c r="M163">
        <v>27600</v>
      </c>
      <c r="Q163">
        <v>27600</v>
      </c>
      <c r="AC163" t="s">
        <v>339</v>
      </c>
    </row>
    <row r="164" spans="1:29" ht="12.75">
      <c r="A164" t="str">
        <f>"66826476C1"</f>
        <v>66826476C1</v>
      </c>
      <c r="B164" t="str">
        <f>"02406911202"</f>
        <v>02406911202</v>
      </c>
      <c r="C164" t="s">
        <v>13</v>
      </c>
      <c r="D164" t="s">
        <v>30</v>
      </c>
      <c r="E164" t="s">
        <v>344</v>
      </c>
      <c r="F164" t="s">
        <v>32</v>
      </c>
      <c r="G164" t="str">
        <f>"00310940374"</f>
        <v>00310940374</v>
      </c>
      <c r="I164" t="s">
        <v>341</v>
      </c>
      <c r="L164" t="s">
        <v>91</v>
      </c>
      <c r="AC164" t="s">
        <v>339</v>
      </c>
    </row>
    <row r="165" spans="1:29" ht="12.75">
      <c r="A165" t="str">
        <f>"66826476C1"</f>
        <v>66826476C1</v>
      </c>
      <c r="B165" t="str">
        <f>"02406911202"</f>
        <v>02406911202</v>
      </c>
      <c r="C165" t="s">
        <v>13</v>
      </c>
      <c r="D165" t="s">
        <v>30</v>
      </c>
      <c r="E165" t="s">
        <v>344</v>
      </c>
      <c r="F165" t="s">
        <v>32</v>
      </c>
      <c r="G165" t="str">
        <f>"02062440355"</f>
        <v>02062440355</v>
      </c>
      <c r="I165" t="s">
        <v>342</v>
      </c>
      <c r="L165" t="s">
        <v>91</v>
      </c>
      <c r="AC165" t="s">
        <v>339</v>
      </c>
    </row>
    <row r="166" spans="1:29" ht="12.75">
      <c r="A166" t="str">
        <f>"66826476C1"</f>
        <v>66826476C1</v>
      </c>
      <c r="B166" t="str">
        <f>"02406911202"</f>
        <v>02406911202</v>
      </c>
      <c r="C166" t="s">
        <v>13</v>
      </c>
      <c r="D166" t="s">
        <v>30</v>
      </c>
      <c r="E166" t="s">
        <v>344</v>
      </c>
      <c r="F166" t="s">
        <v>32</v>
      </c>
      <c r="G166" t="str">
        <f>"00353700347"</f>
        <v>00353700347</v>
      </c>
      <c r="I166" t="s">
        <v>340</v>
      </c>
      <c r="L166" t="s">
        <v>91</v>
      </c>
      <c r="AC166" t="s">
        <v>339</v>
      </c>
    </row>
    <row r="167" spans="1:29" ht="12.75">
      <c r="A167" t="str">
        <f>"66826476C1"</f>
        <v>66826476C1</v>
      </c>
      <c r="B167" t="str">
        <f>"02406911202"</f>
        <v>02406911202</v>
      </c>
      <c r="C167" t="s">
        <v>13</v>
      </c>
      <c r="D167" t="s">
        <v>30</v>
      </c>
      <c r="E167" t="s">
        <v>344</v>
      </c>
      <c r="F167" t="s">
        <v>32</v>
      </c>
      <c r="G167" t="str">
        <f>"00932190044"</f>
        <v>00932190044</v>
      </c>
      <c r="I167" t="s">
        <v>343</v>
      </c>
      <c r="L167" t="s">
        <v>91</v>
      </c>
      <c r="AC167" t="s">
        <v>339</v>
      </c>
    </row>
    <row r="168" spans="1:29" ht="12.75">
      <c r="A168" t="str">
        <f>"66613732E6"</f>
        <v>66613732E6</v>
      </c>
      <c r="B168" t="str">
        <f>"02406911202"</f>
        <v>02406911202</v>
      </c>
      <c r="C168" t="s">
        <v>13</v>
      </c>
      <c r="D168" t="s">
        <v>30</v>
      </c>
      <c r="E168" t="s">
        <v>345</v>
      </c>
      <c r="F168" t="s">
        <v>78</v>
      </c>
      <c r="G168" t="str">
        <f>"09588050154"</f>
        <v>09588050154</v>
      </c>
      <c r="I168" t="s">
        <v>346</v>
      </c>
      <c r="L168" t="s">
        <v>34</v>
      </c>
      <c r="M168">
        <v>28390</v>
      </c>
      <c r="O168">
        <v>28390</v>
      </c>
      <c r="AC168" t="s">
        <v>176</v>
      </c>
    </row>
    <row r="169" spans="1:29" ht="12.75">
      <c r="A169" t="str">
        <f>"67584701E1"</f>
        <v>67584701E1</v>
      </c>
      <c r="B169" t="str">
        <f>"02406911202"</f>
        <v>02406911202</v>
      </c>
      <c r="C169" t="s">
        <v>13</v>
      </c>
      <c r="D169" t="s">
        <v>30</v>
      </c>
      <c r="E169" t="s">
        <v>347</v>
      </c>
      <c r="F169" t="s">
        <v>32</v>
      </c>
      <c r="G169" t="str">
        <f>"00803890151"</f>
        <v>00803890151</v>
      </c>
      <c r="I169" t="s">
        <v>273</v>
      </c>
      <c r="L169" t="s">
        <v>34</v>
      </c>
      <c r="M169">
        <v>969016</v>
      </c>
      <c r="N169">
        <v>559016</v>
      </c>
      <c r="O169">
        <v>166000</v>
      </c>
      <c r="P169">
        <v>22000</v>
      </c>
      <c r="Q169">
        <v>222000</v>
      </c>
      <c r="AC169" t="s">
        <v>348</v>
      </c>
    </row>
    <row r="170" spans="1:29" ht="12.75">
      <c r="A170" t="str">
        <f>"6758490262"</f>
        <v>6758490262</v>
      </c>
      <c r="B170" t="str">
        <f>"02406911202"</f>
        <v>02406911202</v>
      </c>
      <c r="C170" t="s">
        <v>13</v>
      </c>
      <c r="D170" t="s">
        <v>30</v>
      </c>
      <c r="E170" t="s">
        <v>347</v>
      </c>
      <c r="F170" t="s">
        <v>32</v>
      </c>
      <c r="G170" t="str">
        <f>"03575700160"</f>
        <v>03575700160</v>
      </c>
      <c r="I170" t="s">
        <v>349</v>
      </c>
      <c r="L170" t="s">
        <v>34</v>
      </c>
      <c r="M170">
        <v>2400</v>
      </c>
      <c r="Q170">
        <v>2400</v>
      </c>
      <c r="AC170" t="s">
        <v>348</v>
      </c>
    </row>
    <row r="171" spans="1:29" ht="12.75">
      <c r="A171" t="str">
        <f>"6758487FE4"</f>
        <v>6758487FE4</v>
      </c>
      <c r="B171" t="str">
        <f>"02406911202"</f>
        <v>02406911202</v>
      </c>
      <c r="C171" t="s">
        <v>13</v>
      </c>
      <c r="D171" t="s">
        <v>30</v>
      </c>
      <c r="E171" t="s">
        <v>350</v>
      </c>
      <c r="F171" t="s">
        <v>32</v>
      </c>
      <c r="G171" t="str">
        <f>"03450130285"</f>
        <v>03450130285</v>
      </c>
      <c r="I171" t="s">
        <v>351</v>
      </c>
      <c r="L171" t="s">
        <v>34</v>
      </c>
      <c r="M171">
        <v>18197</v>
      </c>
      <c r="N171">
        <v>8197</v>
      </c>
      <c r="O171">
        <v>7000</v>
      </c>
      <c r="P171">
        <v>3000</v>
      </c>
      <c r="AC171" t="s">
        <v>348</v>
      </c>
    </row>
    <row r="172" spans="1:29" ht="12.75">
      <c r="A172" t="str">
        <f>"654379701E"</f>
        <v>654379701E</v>
      </c>
      <c r="B172" t="str">
        <f>"02406911202"</f>
        <v>02406911202</v>
      </c>
      <c r="C172" t="s">
        <v>13</v>
      </c>
      <c r="D172" t="s">
        <v>30</v>
      </c>
      <c r="E172" t="s">
        <v>352</v>
      </c>
      <c r="F172" t="s">
        <v>32</v>
      </c>
      <c r="G172" t="str">
        <f>"00701480584"</f>
        <v>00701480584</v>
      </c>
      <c r="I172" t="s">
        <v>353</v>
      </c>
      <c r="L172" t="s">
        <v>34</v>
      </c>
      <c r="M172">
        <v>75406</v>
      </c>
      <c r="O172">
        <v>75406</v>
      </c>
      <c r="AC172" t="s">
        <v>41</v>
      </c>
    </row>
    <row r="173" spans="1:29" ht="12.75">
      <c r="A173" t="str">
        <f>"6546961321"</f>
        <v>6546961321</v>
      </c>
      <c r="B173" t="str">
        <f>"02406911202"</f>
        <v>02406911202</v>
      </c>
      <c r="C173" t="s">
        <v>13</v>
      </c>
      <c r="D173" t="s">
        <v>30</v>
      </c>
      <c r="E173" t="s">
        <v>354</v>
      </c>
      <c r="F173" t="s">
        <v>32</v>
      </c>
      <c r="G173" t="str">
        <f>"12882530152"</f>
        <v>12882530152</v>
      </c>
      <c r="I173" t="s">
        <v>355</v>
      </c>
      <c r="L173" t="s">
        <v>34</v>
      </c>
      <c r="M173">
        <v>258700</v>
      </c>
      <c r="N173">
        <v>178260</v>
      </c>
      <c r="P173">
        <v>80440</v>
      </c>
      <c r="AC173" t="s">
        <v>41</v>
      </c>
    </row>
    <row r="174" spans="1:29" ht="12.75">
      <c r="A174" t="str">
        <f>"6546967813"</f>
        <v>6546967813</v>
      </c>
      <c r="B174" t="str">
        <f>"02406911202"</f>
        <v>02406911202</v>
      </c>
      <c r="C174" t="s">
        <v>13</v>
      </c>
      <c r="D174" t="s">
        <v>30</v>
      </c>
      <c r="E174" t="s">
        <v>354</v>
      </c>
      <c r="F174" t="s">
        <v>32</v>
      </c>
      <c r="G174" t="str">
        <f>"93517310152"</f>
        <v>93517310152</v>
      </c>
      <c r="I174" t="s">
        <v>356</v>
      </c>
      <c r="L174" t="s">
        <v>34</v>
      </c>
      <c r="M174">
        <v>4300</v>
      </c>
      <c r="P174">
        <v>4300</v>
      </c>
      <c r="AC174" t="s">
        <v>41</v>
      </c>
    </row>
    <row r="175" spans="1:29" ht="12.75">
      <c r="A175" t="str">
        <f>"6546975EAB"</f>
        <v>6546975EAB</v>
      </c>
      <c r="B175" t="str">
        <f>"02406911202"</f>
        <v>02406911202</v>
      </c>
      <c r="C175" t="s">
        <v>13</v>
      </c>
      <c r="D175" t="s">
        <v>30</v>
      </c>
      <c r="E175" t="s">
        <v>354</v>
      </c>
      <c r="F175" t="s">
        <v>32</v>
      </c>
      <c r="G175" t="str">
        <f>"06324460150"</f>
        <v>06324460150</v>
      </c>
      <c r="I175" t="s">
        <v>357</v>
      </c>
      <c r="L175" t="s">
        <v>34</v>
      </c>
      <c r="M175">
        <v>1800</v>
      </c>
      <c r="P175">
        <v>1800</v>
      </c>
      <c r="AC175" t="s">
        <v>41</v>
      </c>
    </row>
    <row r="176" spans="1:29" ht="12.75">
      <c r="A176" t="str">
        <f>"655059492B"</f>
        <v>655059492B</v>
      </c>
      <c r="B176" t="str">
        <f>"02406911202"</f>
        <v>02406911202</v>
      </c>
      <c r="C176" t="s">
        <v>13</v>
      </c>
      <c r="D176" t="s">
        <v>30</v>
      </c>
      <c r="E176" t="s">
        <v>358</v>
      </c>
      <c r="F176" t="s">
        <v>32</v>
      </c>
      <c r="H176" t="str">
        <f>"DE812136673"</f>
        <v>DE812136673</v>
      </c>
      <c r="I176" t="s">
        <v>359</v>
      </c>
      <c r="L176" t="s">
        <v>34</v>
      </c>
      <c r="M176">
        <v>28560</v>
      </c>
      <c r="O176">
        <v>28560</v>
      </c>
      <c r="AC176" t="s">
        <v>41</v>
      </c>
    </row>
    <row r="177" spans="1:29" ht="12.75">
      <c r="A177" t="str">
        <f>"6550612806"</f>
        <v>6550612806</v>
      </c>
      <c r="B177" t="str">
        <f>"02406911202"</f>
        <v>02406911202</v>
      </c>
      <c r="C177" t="s">
        <v>13</v>
      </c>
      <c r="D177" t="s">
        <v>30</v>
      </c>
      <c r="E177" t="s">
        <v>360</v>
      </c>
      <c r="F177" t="s">
        <v>32</v>
      </c>
      <c r="H177" t="str">
        <f>"04-2950751"</f>
        <v>04-2950751</v>
      </c>
      <c r="I177" t="s">
        <v>361</v>
      </c>
      <c r="L177" t="s">
        <v>34</v>
      </c>
      <c r="M177">
        <v>5000</v>
      </c>
      <c r="O177">
        <v>5000</v>
      </c>
      <c r="AC177" t="s">
        <v>41</v>
      </c>
    </row>
    <row r="178" spans="1:29" ht="12.75">
      <c r="A178" t="str">
        <f>"655060309B"</f>
        <v>655060309B</v>
      </c>
      <c r="B178" t="str">
        <f>"02406911202"</f>
        <v>02406911202</v>
      </c>
      <c r="C178" t="s">
        <v>13</v>
      </c>
      <c r="D178" t="s">
        <v>30</v>
      </c>
      <c r="E178" t="s">
        <v>360</v>
      </c>
      <c r="F178" t="s">
        <v>32</v>
      </c>
      <c r="H178" t="str">
        <f>"20-8066748"</f>
        <v>20-8066748</v>
      </c>
      <c r="I178" t="s">
        <v>362</v>
      </c>
      <c r="L178" t="s">
        <v>34</v>
      </c>
      <c r="M178">
        <v>5000</v>
      </c>
      <c r="O178">
        <v>5000</v>
      </c>
      <c r="AC178" t="s">
        <v>41</v>
      </c>
    </row>
    <row r="179" spans="1:29" ht="12.75">
      <c r="A179" t="str">
        <f>"6550619DCB"</f>
        <v>6550619DCB</v>
      </c>
      <c r="B179" t="str">
        <f>"02406911202"</f>
        <v>02406911202</v>
      </c>
      <c r="C179" t="s">
        <v>13</v>
      </c>
      <c r="D179" t="s">
        <v>30</v>
      </c>
      <c r="E179" t="s">
        <v>363</v>
      </c>
      <c r="F179" t="s">
        <v>32</v>
      </c>
      <c r="H179" t="str">
        <f>"BE0536463943"</f>
        <v>BE0536463943</v>
      </c>
      <c r="I179" t="s">
        <v>364</v>
      </c>
      <c r="L179" t="s">
        <v>34</v>
      </c>
      <c r="M179">
        <v>65000</v>
      </c>
      <c r="O179">
        <v>65000</v>
      </c>
      <c r="AC179" t="s">
        <v>41</v>
      </c>
    </row>
    <row r="180" spans="1:29" ht="12.75">
      <c r="A180" t="str">
        <f>"65511747CD"</f>
        <v>65511747CD</v>
      </c>
      <c r="B180" t="str">
        <f>"02406911202"</f>
        <v>02406911202</v>
      </c>
      <c r="C180" t="s">
        <v>13</v>
      </c>
      <c r="D180" t="s">
        <v>30</v>
      </c>
      <c r="E180" t="s">
        <v>360</v>
      </c>
      <c r="F180" t="s">
        <v>32</v>
      </c>
      <c r="H180" t="str">
        <f>"DE813917917"</f>
        <v>DE813917917</v>
      </c>
      <c r="I180" t="s">
        <v>365</v>
      </c>
      <c r="L180" t="s">
        <v>34</v>
      </c>
      <c r="M180">
        <v>70000</v>
      </c>
      <c r="O180">
        <v>70000</v>
      </c>
      <c r="AC180" t="s">
        <v>41</v>
      </c>
    </row>
    <row r="181" spans="1:29" ht="12.75">
      <c r="A181" t="str">
        <f>"6553275D98"</f>
        <v>6553275D98</v>
      </c>
      <c r="B181" t="str">
        <f>"02406911202"</f>
        <v>02406911202</v>
      </c>
      <c r="C181" t="s">
        <v>13</v>
      </c>
      <c r="D181" t="s">
        <v>30</v>
      </c>
      <c r="E181" t="s">
        <v>366</v>
      </c>
      <c r="F181" t="s">
        <v>32</v>
      </c>
      <c r="H181" t="str">
        <f>"DE189016086"</f>
        <v>DE189016086</v>
      </c>
      <c r="I181" t="s">
        <v>367</v>
      </c>
      <c r="L181" t="s">
        <v>34</v>
      </c>
      <c r="M181">
        <v>30422.49</v>
      </c>
      <c r="O181">
        <v>30422.49</v>
      </c>
      <c r="AC181" t="s">
        <v>41</v>
      </c>
    </row>
    <row r="182" spans="1:29" ht="12.75">
      <c r="A182" t="str">
        <f>"6553277F3E"</f>
        <v>6553277F3E</v>
      </c>
      <c r="B182" t="str">
        <f>"02406911202"</f>
        <v>02406911202</v>
      </c>
      <c r="C182" t="s">
        <v>13</v>
      </c>
      <c r="D182" t="s">
        <v>30</v>
      </c>
      <c r="E182" t="s">
        <v>366</v>
      </c>
      <c r="F182" t="s">
        <v>32</v>
      </c>
      <c r="H182" t="str">
        <f>"F-6781"</f>
        <v>F-6781</v>
      </c>
      <c r="I182" t="s">
        <v>368</v>
      </c>
      <c r="L182" t="s">
        <v>34</v>
      </c>
      <c r="M182">
        <v>368.85</v>
      </c>
      <c r="O182">
        <v>368.85</v>
      </c>
      <c r="AC182" t="s">
        <v>41</v>
      </c>
    </row>
    <row r="183" spans="1:29" ht="12.75">
      <c r="A183" t="str">
        <f>"655328128F"</f>
        <v>655328128F</v>
      </c>
      <c r="B183" t="str">
        <f>"02406911202"</f>
        <v>02406911202</v>
      </c>
      <c r="C183" t="s">
        <v>13</v>
      </c>
      <c r="D183" t="s">
        <v>30</v>
      </c>
      <c r="E183" t="s">
        <v>366</v>
      </c>
      <c r="F183" t="s">
        <v>32</v>
      </c>
      <c r="G183" t="str">
        <f>"05121020968"</f>
        <v>05121020968</v>
      </c>
      <c r="I183" t="s">
        <v>369</v>
      </c>
      <c r="L183" t="s">
        <v>34</v>
      </c>
      <c r="M183">
        <v>262.5</v>
      </c>
      <c r="O183">
        <v>262.5</v>
      </c>
      <c r="AC183" t="s">
        <v>41</v>
      </c>
    </row>
    <row r="184" spans="1:29" ht="12.75">
      <c r="A184" t="str">
        <f>"65532866AE"</f>
        <v>65532866AE</v>
      </c>
      <c r="B184" t="str">
        <f>"02406911202"</f>
        <v>02406911202</v>
      </c>
      <c r="C184" t="s">
        <v>13</v>
      </c>
      <c r="D184" t="s">
        <v>30</v>
      </c>
      <c r="E184" t="s">
        <v>366</v>
      </c>
      <c r="F184" t="s">
        <v>32</v>
      </c>
      <c r="G184" t="str">
        <f>"02538910379"</f>
        <v>02538910379</v>
      </c>
      <c r="I184" t="s">
        <v>370</v>
      </c>
      <c r="L184" t="s">
        <v>34</v>
      </c>
      <c r="M184">
        <v>98.94</v>
      </c>
      <c r="O184">
        <v>98.94</v>
      </c>
      <c r="AC184" t="s">
        <v>41</v>
      </c>
    </row>
    <row r="185" spans="1:29" ht="12.75">
      <c r="A185" t="str">
        <f>"6553289927"</f>
        <v>6553289927</v>
      </c>
      <c r="B185" t="str">
        <f>"02406911202"</f>
        <v>02406911202</v>
      </c>
      <c r="C185" t="s">
        <v>13</v>
      </c>
      <c r="D185" t="s">
        <v>30</v>
      </c>
      <c r="E185" t="s">
        <v>366</v>
      </c>
      <c r="F185" t="s">
        <v>32</v>
      </c>
      <c r="G185" t="str">
        <f>"03864470376"</f>
        <v>03864470376</v>
      </c>
      <c r="I185" t="s">
        <v>371</v>
      </c>
      <c r="L185" t="s">
        <v>34</v>
      </c>
      <c r="M185">
        <v>878.85</v>
      </c>
      <c r="O185">
        <v>878.85</v>
      </c>
      <c r="AC185" t="s">
        <v>41</v>
      </c>
    </row>
    <row r="186" spans="1:29" ht="12.75">
      <c r="A186" t="str">
        <f>"6553291ACD"</f>
        <v>6553291ACD</v>
      </c>
      <c r="B186" t="str">
        <f>"02406911202"</f>
        <v>02406911202</v>
      </c>
      <c r="C186" t="s">
        <v>13</v>
      </c>
      <c r="D186" t="s">
        <v>30</v>
      </c>
      <c r="E186" t="s">
        <v>366</v>
      </c>
      <c r="F186" t="s">
        <v>32</v>
      </c>
      <c r="G186" t="str">
        <f>"09575411005"</f>
        <v>09575411005</v>
      </c>
      <c r="I186" t="s">
        <v>372</v>
      </c>
      <c r="L186" t="s">
        <v>34</v>
      </c>
      <c r="M186">
        <v>3700</v>
      </c>
      <c r="O186">
        <v>3700</v>
      </c>
      <c r="AC186" t="s">
        <v>41</v>
      </c>
    </row>
    <row r="187" spans="1:29" ht="12.75">
      <c r="A187" t="str">
        <f>"6553294D46"</f>
        <v>6553294D46</v>
      </c>
      <c r="B187" t="str">
        <f>"02406911202"</f>
        <v>02406911202</v>
      </c>
      <c r="C187" t="s">
        <v>13</v>
      </c>
      <c r="D187" t="s">
        <v>30</v>
      </c>
      <c r="E187" t="s">
        <v>366</v>
      </c>
      <c r="F187" t="s">
        <v>32</v>
      </c>
      <c r="H187" t="str">
        <f>"896103703"</f>
        <v>896103703</v>
      </c>
      <c r="I187" t="s">
        <v>373</v>
      </c>
      <c r="L187" t="s">
        <v>34</v>
      </c>
      <c r="M187">
        <v>2911.66</v>
      </c>
      <c r="O187">
        <v>2911.66</v>
      </c>
      <c r="AC187" t="s">
        <v>41</v>
      </c>
    </row>
    <row r="188" spans="1:29" ht="12.75">
      <c r="A188" t="str">
        <f>"6553315E9A"</f>
        <v>6553315E9A</v>
      </c>
      <c r="B188" t="str">
        <f>"02406911202"</f>
        <v>02406911202</v>
      </c>
      <c r="C188" t="s">
        <v>13</v>
      </c>
      <c r="D188" t="s">
        <v>30</v>
      </c>
      <c r="E188" t="s">
        <v>366</v>
      </c>
      <c r="F188" t="s">
        <v>32</v>
      </c>
      <c r="G188" t="str">
        <f>"06357810156"</f>
        <v>06357810156</v>
      </c>
      <c r="I188" t="s">
        <v>374</v>
      </c>
      <c r="L188" t="s">
        <v>34</v>
      </c>
      <c r="M188">
        <v>151.63</v>
      </c>
      <c r="O188">
        <v>151.63</v>
      </c>
      <c r="AC188" t="s">
        <v>41</v>
      </c>
    </row>
    <row r="189" spans="1:29" ht="12.75">
      <c r="A189" t="str">
        <f>"65533191EB"</f>
        <v>65533191EB</v>
      </c>
      <c r="B189" t="str">
        <f>"02406911202"</f>
        <v>02406911202</v>
      </c>
      <c r="C189" t="s">
        <v>13</v>
      </c>
      <c r="D189" t="s">
        <v>30</v>
      </c>
      <c r="E189" t="s">
        <v>366</v>
      </c>
      <c r="F189" t="s">
        <v>32</v>
      </c>
      <c r="G189" t="str">
        <f>"11538890150"</f>
        <v>11538890150</v>
      </c>
      <c r="I189" t="s">
        <v>375</v>
      </c>
      <c r="L189" t="s">
        <v>34</v>
      </c>
      <c r="M189">
        <v>137.7</v>
      </c>
      <c r="O189">
        <v>137.7</v>
      </c>
      <c r="AC189" t="s">
        <v>41</v>
      </c>
    </row>
    <row r="190" spans="1:29" ht="12.75">
      <c r="A190" t="str">
        <f>"6553323537"</f>
        <v>6553323537</v>
      </c>
      <c r="B190" t="str">
        <f>"02406911202"</f>
        <v>02406911202</v>
      </c>
      <c r="C190" t="s">
        <v>13</v>
      </c>
      <c r="D190" t="s">
        <v>30</v>
      </c>
      <c r="E190" t="s">
        <v>366</v>
      </c>
      <c r="F190" t="s">
        <v>32</v>
      </c>
      <c r="G190" t="str">
        <f>"07628360963"</f>
        <v>07628360963</v>
      </c>
      <c r="I190" t="s">
        <v>376</v>
      </c>
      <c r="L190" t="s">
        <v>34</v>
      </c>
      <c r="M190">
        <v>258.19</v>
      </c>
      <c r="O190">
        <v>258.19</v>
      </c>
      <c r="AC190" t="s">
        <v>41</v>
      </c>
    </row>
    <row r="191" spans="1:29" ht="12.75">
      <c r="A191" t="str">
        <f>"65533267B0"</f>
        <v>65533267B0</v>
      </c>
      <c r="B191" t="str">
        <f>"02406911202"</f>
        <v>02406911202</v>
      </c>
      <c r="C191" t="s">
        <v>13</v>
      </c>
      <c r="D191" t="s">
        <v>30</v>
      </c>
      <c r="E191" t="s">
        <v>366</v>
      </c>
      <c r="F191" t="s">
        <v>32</v>
      </c>
      <c r="G191" t="str">
        <f>"03759710613"</f>
        <v>03759710613</v>
      </c>
      <c r="I191" t="s">
        <v>377</v>
      </c>
      <c r="L191" t="s">
        <v>34</v>
      </c>
      <c r="M191">
        <v>106.55</v>
      </c>
      <c r="O191">
        <v>106.55</v>
      </c>
      <c r="AC191" t="s">
        <v>41</v>
      </c>
    </row>
    <row r="192" spans="1:29" ht="12.75">
      <c r="A192" t="str">
        <f>"6553329A29"</f>
        <v>6553329A29</v>
      </c>
      <c r="B192" t="str">
        <f>"02406911202"</f>
        <v>02406911202</v>
      </c>
      <c r="C192" t="s">
        <v>13</v>
      </c>
      <c r="D192" t="s">
        <v>30</v>
      </c>
      <c r="E192" t="s">
        <v>366</v>
      </c>
      <c r="F192" t="s">
        <v>32</v>
      </c>
      <c r="G192" t="str">
        <f>"03759710613"</f>
        <v>03759710613</v>
      </c>
      <c r="I192" t="s">
        <v>377</v>
      </c>
      <c r="L192" t="s">
        <v>34</v>
      </c>
      <c r="M192">
        <v>1110</v>
      </c>
      <c r="O192">
        <v>1110</v>
      </c>
      <c r="AC192" t="s">
        <v>41</v>
      </c>
    </row>
    <row r="193" spans="1:29" ht="12.75">
      <c r="A193" t="str">
        <f>"6553335F1B"</f>
        <v>6553335F1B</v>
      </c>
      <c r="B193" t="str">
        <f>"02406911202"</f>
        <v>02406911202</v>
      </c>
      <c r="C193" t="s">
        <v>13</v>
      </c>
      <c r="D193" t="s">
        <v>30</v>
      </c>
      <c r="E193" t="s">
        <v>366</v>
      </c>
      <c r="F193" t="s">
        <v>32</v>
      </c>
      <c r="G193" t="str">
        <f>"02118311006"</f>
        <v>02118311006</v>
      </c>
      <c r="I193" t="s">
        <v>378</v>
      </c>
      <c r="L193" t="s">
        <v>34</v>
      </c>
      <c r="M193">
        <v>198</v>
      </c>
      <c r="O193">
        <v>198</v>
      </c>
      <c r="AC193" t="s">
        <v>41</v>
      </c>
    </row>
    <row r="194" spans="1:29" ht="12.75">
      <c r="A194" t="str">
        <f>"6553341412"</f>
        <v>6553341412</v>
      </c>
      <c r="B194" t="str">
        <f>"02406911202"</f>
        <v>02406911202</v>
      </c>
      <c r="C194" t="s">
        <v>13</v>
      </c>
      <c r="D194" t="s">
        <v>30</v>
      </c>
      <c r="E194" t="s">
        <v>366</v>
      </c>
      <c r="F194" t="s">
        <v>32</v>
      </c>
      <c r="G194" t="str">
        <f>"01131710376"</f>
        <v>01131710376</v>
      </c>
      <c r="I194" t="s">
        <v>379</v>
      </c>
      <c r="L194" t="s">
        <v>34</v>
      </c>
      <c r="M194">
        <v>409.83</v>
      </c>
      <c r="O194">
        <v>409.83</v>
      </c>
      <c r="AC194" t="s">
        <v>41</v>
      </c>
    </row>
    <row r="195" spans="1:29" ht="12.75">
      <c r="A195" t="str">
        <f>"6553346831"</f>
        <v>6553346831</v>
      </c>
      <c r="B195" t="str">
        <f>"02406911202"</f>
        <v>02406911202</v>
      </c>
      <c r="C195" t="s">
        <v>13</v>
      </c>
      <c r="D195" t="s">
        <v>30</v>
      </c>
      <c r="E195" t="s">
        <v>366</v>
      </c>
      <c r="F195" t="s">
        <v>32</v>
      </c>
      <c r="G195" t="str">
        <f>"00987061009"</f>
        <v>00987061009</v>
      </c>
      <c r="I195" t="s">
        <v>380</v>
      </c>
      <c r="L195" t="s">
        <v>34</v>
      </c>
      <c r="M195">
        <v>84.61</v>
      </c>
      <c r="O195">
        <v>84.61</v>
      </c>
      <c r="AC195" t="s">
        <v>41</v>
      </c>
    </row>
    <row r="196" spans="1:29" ht="12.75">
      <c r="A196" t="str">
        <f>"6555232C90"</f>
        <v>6555232C90</v>
      </c>
      <c r="B196" t="str">
        <f>"02406911202"</f>
        <v>02406911202</v>
      </c>
      <c r="C196" t="s">
        <v>13</v>
      </c>
      <c r="D196" t="s">
        <v>30</v>
      </c>
      <c r="E196" t="s">
        <v>381</v>
      </c>
      <c r="F196" t="s">
        <v>32</v>
      </c>
      <c r="G196" t="str">
        <f>"00076670595"</f>
        <v>00076670595</v>
      </c>
      <c r="I196" t="s">
        <v>104</v>
      </c>
      <c r="L196" t="s">
        <v>34</v>
      </c>
      <c r="M196">
        <v>413437.89</v>
      </c>
      <c r="N196">
        <v>342355.8</v>
      </c>
      <c r="O196">
        <v>32617.6</v>
      </c>
      <c r="P196">
        <v>37514.09</v>
      </c>
      <c r="Q196">
        <v>950.4</v>
      </c>
      <c r="AC196" t="s">
        <v>41</v>
      </c>
    </row>
    <row r="197" spans="1:29" ht="12.75">
      <c r="A197" t="str">
        <f>"6555238187"</f>
        <v>6555238187</v>
      </c>
      <c r="B197" t="str">
        <f>"02406911202"</f>
        <v>02406911202</v>
      </c>
      <c r="C197" t="s">
        <v>13</v>
      </c>
      <c r="D197" t="s">
        <v>30</v>
      </c>
      <c r="E197" t="s">
        <v>381</v>
      </c>
      <c r="F197" t="s">
        <v>32</v>
      </c>
      <c r="G197" t="str">
        <f>"02401440157"</f>
        <v>02401440157</v>
      </c>
      <c r="I197" t="s">
        <v>382</v>
      </c>
      <c r="L197" t="s">
        <v>34</v>
      </c>
      <c r="M197">
        <v>479288.44</v>
      </c>
      <c r="N197">
        <v>395004.55</v>
      </c>
      <c r="O197">
        <v>7394.6</v>
      </c>
      <c r="P197">
        <v>76419.49</v>
      </c>
      <c r="Q197">
        <v>469.8</v>
      </c>
      <c r="AC197" t="s">
        <v>41</v>
      </c>
    </row>
    <row r="198" spans="1:29" ht="12.75">
      <c r="A198" t="str">
        <f>"6555258208"</f>
        <v>6555258208</v>
      </c>
      <c r="B198" t="str">
        <f>"02406911202"</f>
        <v>02406911202</v>
      </c>
      <c r="C198" t="s">
        <v>13</v>
      </c>
      <c r="D198" t="s">
        <v>30</v>
      </c>
      <c r="E198" t="s">
        <v>381</v>
      </c>
      <c r="F198" t="s">
        <v>32</v>
      </c>
      <c r="G198" t="str">
        <f>"11667890153"</f>
        <v>11667890153</v>
      </c>
      <c r="I198" t="s">
        <v>383</v>
      </c>
      <c r="L198" t="s">
        <v>34</v>
      </c>
      <c r="M198">
        <v>155665.06</v>
      </c>
      <c r="N198">
        <v>125306</v>
      </c>
      <c r="O198">
        <v>18499.94</v>
      </c>
      <c r="P198">
        <v>11723.04</v>
      </c>
      <c r="Q198">
        <v>136.08</v>
      </c>
      <c r="AC198" t="s">
        <v>41</v>
      </c>
    </row>
    <row r="199" spans="1:29" ht="12.75">
      <c r="A199" t="str">
        <f>"65552478F2"</f>
        <v>65552478F2</v>
      </c>
      <c r="B199" t="str">
        <f>"02406911202"</f>
        <v>02406911202</v>
      </c>
      <c r="C199" t="s">
        <v>13</v>
      </c>
      <c r="D199" t="s">
        <v>30</v>
      </c>
      <c r="E199" t="s">
        <v>381</v>
      </c>
      <c r="F199" t="s">
        <v>32</v>
      </c>
      <c r="G199" t="str">
        <f>"10634380017"</f>
        <v>10634380017</v>
      </c>
      <c r="I199" t="s">
        <v>384</v>
      </c>
      <c r="L199" t="s">
        <v>34</v>
      </c>
      <c r="M199">
        <v>12036</v>
      </c>
      <c r="N199">
        <v>11475</v>
      </c>
      <c r="O199">
        <v>255</v>
      </c>
      <c r="P199">
        <v>306</v>
      </c>
      <c r="AC199" t="s">
        <v>41</v>
      </c>
    </row>
    <row r="200" spans="1:29" ht="12.75">
      <c r="A200" t="str">
        <f>"6559446214"</f>
        <v>6559446214</v>
      </c>
      <c r="B200" t="str">
        <f>"02406911202"</f>
        <v>02406911202</v>
      </c>
      <c r="C200" t="s">
        <v>13</v>
      </c>
      <c r="D200" t="s">
        <v>30</v>
      </c>
      <c r="E200" t="s">
        <v>385</v>
      </c>
      <c r="F200" t="s">
        <v>46</v>
      </c>
      <c r="G200" t="str">
        <f>"05297730961"</f>
        <v>05297730961</v>
      </c>
      <c r="I200" t="s">
        <v>243</v>
      </c>
      <c r="L200" t="s">
        <v>34</v>
      </c>
      <c r="M200">
        <v>127091.8</v>
      </c>
      <c r="Q200">
        <v>63783.8</v>
      </c>
      <c r="R200">
        <v>63308</v>
      </c>
      <c r="AC200" t="s">
        <v>41</v>
      </c>
    </row>
    <row r="201" spans="1:29" ht="12.75">
      <c r="A201" t="str">
        <f>"6559170E4D"</f>
        <v>6559170E4D</v>
      </c>
      <c r="B201" t="str">
        <f>"02406911202"</f>
        <v>02406911202</v>
      </c>
      <c r="C201" t="s">
        <v>13</v>
      </c>
      <c r="D201" t="s">
        <v>30</v>
      </c>
      <c r="E201" t="s">
        <v>386</v>
      </c>
      <c r="F201" t="s">
        <v>46</v>
      </c>
      <c r="G201" t="str">
        <f>"BLLVVC69C23A944Q"</f>
        <v>BLLVVC69C23A944Q</v>
      </c>
      <c r="I201" t="s">
        <v>387</v>
      </c>
      <c r="J201" t="s">
        <v>388</v>
      </c>
      <c r="K201" t="s">
        <v>59</v>
      </c>
      <c r="AC201" t="s">
        <v>41</v>
      </c>
    </row>
    <row r="202" spans="1:29" ht="12.75">
      <c r="A202" t="str">
        <f>"6559170E4D"</f>
        <v>6559170E4D</v>
      </c>
      <c r="B202" t="str">
        <f>"02406911202"</f>
        <v>02406911202</v>
      </c>
      <c r="C202" t="s">
        <v>13</v>
      </c>
      <c r="D202" t="s">
        <v>30</v>
      </c>
      <c r="E202" t="s">
        <v>386</v>
      </c>
      <c r="F202" t="s">
        <v>46</v>
      </c>
      <c r="G202" t="str">
        <f>"CMGCLD69H57D668R"</f>
        <v>CMGCLD69H57D668R</v>
      </c>
      <c r="I202" t="s">
        <v>389</v>
      </c>
      <c r="J202" t="s">
        <v>388</v>
      </c>
      <c r="K202" t="s">
        <v>62</v>
      </c>
      <c r="AC202" t="s">
        <v>41</v>
      </c>
    </row>
    <row r="203" spans="1:29" ht="12.75">
      <c r="A203" t="str">
        <f>"6559170E4D"</f>
        <v>6559170E4D</v>
      </c>
      <c r="B203" t="str">
        <f>"02406911202"</f>
        <v>02406911202</v>
      </c>
      <c r="C203" t="s">
        <v>13</v>
      </c>
      <c r="D203" t="s">
        <v>30</v>
      </c>
      <c r="E203" t="s">
        <v>386</v>
      </c>
      <c r="F203" t="s">
        <v>46</v>
      </c>
      <c r="I203" t="s">
        <v>388</v>
      </c>
      <c r="L203" t="s">
        <v>34</v>
      </c>
      <c r="M203">
        <v>57377.05</v>
      </c>
      <c r="P203">
        <v>57377.05</v>
      </c>
      <c r="AC203" t="s">
        <v>41</v>
      </c>
    </row>
    <row r="204" spans="1:29" ht="12.75">
      <c r="A204" t="str">
        <f>"65596878F3"</f>
        <v>65596878F3</v>
      </c>
      <c r="B204" t="str">
        <f>"02406911202"</f>
        <v>02406911202</v>
      </c>
      <c r="C204" t="s">
        <v>13</v>
      </c>
      <c r="D204" t="s">
        <v>30</v>
      </c>
      <c r="E204" t="s">
        <v>390</v>
      </c>
      <c r="F204" t="s">
        <v>32</v>
      </c>
      <c r="G204" t="str">
        <f>"07123400157"</f>
        <v>07123400157</v>
      </c>
      <c r="I204" t="s">
        <v>245</v>
      </c>
      <c r="L204" t="s">
        <v>34</v>
      </c>
      <c r="M204">
        <v>1483469</v>
      </c>
      <c r="N204">
        <v>260000</v>
      </c>
      <c r="O204">
        <v>1053469</v>
      </c>
      <c r="S204">
        <v>170000</v>
      </c>
      <c r="AC204" t="s">
        <v>41</v>
      </c>
    </row>
    <row r="205" spans="1:29" ht="12.75">
      <c r="A205" t="str">
        <f>"65597003AF"</f>
        <v>65597003AF</v>
      </c>
      <c r="B205" t="str">
        <f>"02406911202"</f>
        <v>02406911202</v>
      </c>
      <c r="C205" t="s">
        <v>13</v>
      </c>
      <c r="D205" t="s">
        <v>30</v>
      </c>
      <c r="E205" t="s">
        <v>390</v>
      </c>
      <c r="F205" t="s">
        <v>32</v>
      </c>
      <c r="G205" t="str">
        <f>"02845340963"</f>
        <v>02845340963</v>
      </c>
      <c r="I205" t="s">
        <v>391</v>
      </c>
      <c r="L205" t="s">
        <v>34</v>
      </c>
      <c r="M205">
        <v>200000</v>
      </c>
      <c r="O205">
        <v>200000</v>
      </c>
      <c r="AC205" t="s">
        <v>41</v>
      </c>
    </row>
    <row r="206" spans="1:29" ht="12.75">
      <c r="A206" t="str">
        <f>"6559711CC0"</f>
        <v>6559711CC0</v>
      </c>
      <c r="B206" t="str">
        <f>"02406911202"</f>
        <v>02406911202</v>
      </c>
      <c r="C206" t="s">
        <v>13</v>
      </c>
      <c r="D206" t="s">
        <v>30</v>
      </c>
      <c r="E206" t="s">
        <v>390</v>
      </c>
      <c r="F206" t="s">
        <v>32</v>
      </c>
      <c r="G206" t="str">
        <f>"09238800156"</f>
        <v>09238800156</v>
      </c>
      <c r="I206" t="s">
        <v>72</v>
      </c>
      <c r="L206" t="s">
        <v>34</v>
      </c>
      <c r="M206">
        <v>1077230</v>
      </c>
      <c r="N206">
        <v>30230</v>
      </c>
      <c r="O206">
        <v>1047000</v>
      </c>
      <c r="AC206" t="s">
        <v>41</v>
      </c>
    </row>
    <row r="207" spans="1:29" ht="12.75">
      <c r="A207" t="str">
        <f>"655972477C"</f>
        <v>655972477C</v>
      </c>
      <c r="B207" t="str">
        <f>"02406911202"</f>
        <v>02406911202</v>
      </c>
      <c r="C207" t="s">
        <v>13</v>
      </c>
      <c r="D207" t="s">
        <v>30</v>
      </c>
      <c r="E207" t="s">
        <v>390</v>
      </c>
      <c r="F207" t="s">
        <v>32</v>
      </c>
      <c r="G207" t="str">
        <f>"07668030583"</f>
        <v>07668030583</v>
      </c>
      <c r="I207" t="s">
        <v>392</v>
      </c>
      <c r="L207" t="s">
        <v>34</v>
      </c>
      <c r="M207">
        <v>553071</v>
      </c>
      <c r="N207">
        <v>110000</v>
      </c>
      <c r="O207">
        <v>443071</v>
      </c>
      <c r="AC207" t="s">
        <v>41</v>
      </c>
    </row>
    <row r="208" spans="1:29" ht="12.75">
      <c r="A208" t="str">
        <f>"6559735092"</f>
        <v>6559735092</v>
      </c>
      <c r="B208" t="str">
        <f>"02406911202"</f>
        <v>02406911202</v>
      </c>
      <c r="C208" t="s">
        <v>13</v>
      </c>
      <c r="D208" t="s">
        <v>30</v>
      </c>
      <c r="E208" t="s">
        <v>390</v>
      </c>
      <c r="F208" t="s">
        <v>32</v>
      </c>
      <c r="G208" t="str">
        <f>"03748120155"</f>
        <v>03748120155</v>
      </c>
      <c r="I208" t="s">
        <v>393</v>
      </c>
      <c r="L208" t="s">
        <v>34</v>
      </c>
      <c r="M208">
        <v>717454</v>
      </c>
      <c r="O208">
        <v>407454</v>
      </c>
      <c r="S208">
        <v>310000</v>
      </c>
      <c r="AC208" t="s">
        <v>41</v>
      </c>
    </row>
    <row r="209" spans="1:29" ht="12.75">
      <c r="A209" t="str">
        <f>"655974372A"</f>
        <v>655974372A</v>
      </c>
      <c r="B209" t="str">
        <f>"02406911202"</f>
        <v>02406911202</v>
      </c>
      <c r="C209" t="s">
        <v>13</v>
      </c>
      <c r="D209" t="s">
        <v>30</v>
      </c>
      <c r="E209" t="s">
        <v>390</v>
      </c>
      <c r="F209" t="s">
        <v>32</v>
      </c>
      <c r="G209" t="str">
        <f>"00420240376"</f>
        <v>00420240376</v>
      </c>
      <c r="I209" t="s">
        <v>292</v>
      </c>
      <c r="L209" t="s">
        <v>34</v>
      </c>
      <c r="M209">
        <v>183270</v>
      </c>
      <c r="O209">
        <v>183270</v>
      </c>
      <c r="AC209" t="s">
        <v>41</v>
      </c>
    </row>
    <row r="210" spans="1:29" ht="12.75">
      <c r="A210" t="str">
        <f>"6559980ABD"</f>
        <v>6559980ABD</v>
      </c>
      <c r="B210" t="str">
        <f>"02406911202"</f>
        <v>02406911202</v>
      </c>
      <c r="C210" t="s">
        <v>13</v>
      </c>
      <c r="D210" t="s">
        <v>30</v>
      </c>
      <c r="E210" t="s">
        <v>394</v>
      </c>
      <c r="F210" t="s">
        <v>32</v>
      </c>
      <c r="G210" t="str">
        <f>"08230491006"</f>
        <v>08230491006</v>
      </c>
      <c r="I210" t="s">
        <v>395</v>
      </c>
      <c r="L210" t="s">
        <v>34</v>
      </c>
      <c r="M210">
        <v>342590</v>
      </c>
      <c r="N210">
        <v>164990</v>
      </c>
      <c r="O210">
        <v>134600</v>
      </c>
      <c r="S210">
        <v>43000</v>
      </c>
      <c r="AC210" t="s">
        <v>41</v>
      </c>
    </row>
    <row r="211" spans="1:29" ht="12.75">
      <c r="A211" t="str">
        <f>"6560045064"</f>
        <v>6560045064</v>
      </c>
      <c r="B211" t="str">
        <f>"02406911202"</f>
        <v>02406911202</v>
      </c>
      <c r="C211" t="s">
        <v>13</v>
      </c>
      <c r="D211" t="s">
        <v>30</v>
      </c>
      <c r="E211" t="s">
        <v>394</v>
      </c>
      <c r="F211" t="s">
        <v>32</v>
      </c>
      <c r="G211" t="str">
        <f>"09238800156"</f>
        <v>09238800156</v>
      </c>
      <c r="I211" t="s">
        <v>72</v>
      </c>
      <c r="L211" t="s">
        <v>34</v>
      </c>
      <c r="M211">
        <v>952499</v>
      </c>
      <c r="N211">
        <v>319450</v>
      </c>
      <c r="O211">
        <v>23076</v>
      </c>
      <c r="P211">
        <v>136408</v>
      </c>
      <c r="S211">
        <v>473565</v>
      </c>
      <c r="AC211" t="s">
        <v>41</v>
      </c>
    </row>
    <row r="212" spans="1:29" ht="12.75">
      <c r="A212" t="str">
        <f>"6590082EE8"</f>
        <v>6590082EE8</v>
      </c>
      <c r="B212" t="str">
        <f>"02406911202"</f>
        <v>02406911202</v>
      </c>
      <c r="C212" t="s">
        <v>13</v>
      </c>
      <c r="D212" t="s">
        <v>30</v>
      </c>
      <c r="E212" t="s">
        <v>394</v>
      </c>
      <c r="F212" t="s">
        <v>32</v>
      </c>
      <c r="G212" t="str">
        <f>"11264670156"</f>
        <v>11264670156</v>
      </c>
      <c r="I212" t="s">
        <v>76</v>
      </c>
      <c r="L212" t="s">
        <v>34</v>
      </c>
      <c r="M212">
        <v>300800</v>
      </c>
      <c r="N212">
        <v>55800</v>
      </c>
      <c r="S212">
        <v>245000</v>
      </c>
      <c r="AC212" t="s">
        <v>41</v>
      </c>
    </row>
    <row r="213" spans="1:29" ht="12.75">
      <c r="A213" t="str">
        <f>"Z94181E4C8"</f>
        <v>Z94181E4C8</v>
      </c>
      <c r="B213" t="str">
        <f>"02406911202"</f>
        <v>02406911202</v>
      </c>
      <c r="C213" t="s">
        <v>13</v>
      </c>
      <c r="D213" t="s">
        <v>30</v>
      </c>
      <c r="E213" t="s">
        <v>396</v>
      </c>
      <c r="F213" t="s">
        <v>32</v>
      </c>
      <c r="G213" t="str">
        <f>"93027710016"</f>
        <v>93027710016</v>
      </c>
      <c r="I213" t="s">
        <v>265</v>
      </c>
      <c r="L213" t="s">
        <v>34</v>
      </c>
      <c r="M213">
        <v>25100</v>
      </c>
      <c r="O213">
        <v>25100</v>
      </c>
      <c r="AC213" t="s">
        <v>41</v>
      </c>
    </row>
    <row r="214" spans="1:29" ht="12.75">
      <c r="A214" t="str">
        <f>"6572394F17"</f>
        <v>6572394F17</v>
      </c>
      <c r="B214" t="str">
        <f>"02406911202"</f>
        <v>02406911202</v>
      </c>
      <c r="C214" t="s">
        <v>13</v>
      </c>
      <c r="D214" t="s">
        <v>30</v>
      </c>
      <c r="E214" t="s">
        <v>397</v>
      </c>
      <c r="F214" t="s">
        <v>46</v>
      </c>
      <c r="G214" t="str">
        <f>"00323270371"</f>
        <v>00323270371</v>
      </c>
      <c r="I214" t="s">
        <v>398</v>
      </c>
      <c r="L214" t="s">
        <v>34</v>
      </c>
      <c r="M214">
        <v>23803.27</v>
      </c>
      <c r="N214">
        <v>11311.47</v>
      </c>
      <c r="O214">
        <v>9344.26</v>
      </c>
      <c r="Q214">
        <v>3147.54</v>
      </c>
      <c r="AC214" t="s">
        <v>41</v>
      </c>
    </row>
    <row r="215" spans="1:29" ht="12.75">
      <c r="A215" t="str">
        <f>"6530912712"</f>
        <v>6530912712</v>
      </c>
      <c r="B215" t="str">
        <f>"02406911202"</f>
        <v>02406911202</v>
      </c>
      <c r="C215" t="s">
        <v>13</v>
      </c>
      <c r="D215" t="s">
        <v>30</v>
      </c>
      <c r="E215" t="s">
        <v>399</v>
      </c>
      <c r="F215" t="s">
        <v>32</v>
      </c>
      <c r="G215" t="str">
        <f>"00391130580"</f>
        <v>00391130580</v>
      </c>
      <c r="I215" t="s">
        <v>400</v>
      </c>
      <c r="L215" t="s">
        <v>34</v>
      </c>
      <c r="M215">
        <v>47837.6</v>
      </c>
      <c r="N215">
        <v>34028</v>
      </c>
      <c r="Q215">
        <v>13809.6</v>
      </c>
      <c r="AC215" t="s">
        <v>41</v>
      </c>
    </row>
    <row r="216" spans="1:29" ht="12.75">
      <c r="A216" t="str">
        <f>"6527778CCE"</f>
        <v>6527778CCE</v>
      </c>
      <c r="B216" t="str">
        <f>"02406911202"</f>
        <v>02406911202</v>
      </c>
      <c r="C216" t="s">
        <v>13</v>
      </c>
      <c r="D216" t="s">
        <v>30</v>
      </c>
      <c r="E216" t="s">
        <v>401</v>
      </c>
      <c r="F216" t="s">
        <v>32</v>
      </c>
      <c r="G216" t="str">
        <f>"08252061000"</f>
        <v>08252061000</v>
      </c>
      <c r="I216" t="s">
        <v>402</v>
      </c>
      <c r="L216" t="s">
        <v>34</v>
      </c>
      <c r="M216">
        <v>47400</v>
      </c>
      <c r="N216">
        <v>19500</v>
      </c>
      <c r="O216">
        <v>16500</v>
      </c>
      <c r="Q216">
        <v>11400</v>
      </c>
      <c r="AC216" t="s">
        <v>41</v>
      </c>
    </row>
    <row r="217" spans="1:29" ht="12.75">
      <c r="A217" t="str">
        <f>"6580952563"</f>
        <v>6580952563</v>
      </c>
      <c r="B217" t="str">
        <f>"02406911202"</f>
        <v>02406911202</v>
      </c>
      <c r="C217" t="s">
        <v>13</v>
      </c>
      <c r="D217" t="s">
        <v>30</v>
      </c>
      <c r="E217" t="s">
        <v>403</v>
      </c>
      <c r="F217" t="s">
        <v>32</v>
      </c>
      <c r="G217" t="str">
        <f>"06068041000"</f>
        <v>06068041000</v>
      </c>
      <c r="I217" t="s">
        <v>295</v>
      </c>
      <c r="L217" t="s">
        <v>34</v>
      </c>
      <c r="M217">
        <v>59415</v>
      </c>
      <c r="N217">
        <v>18895</v>
      </c>
      <c r="O217">
        <v>37500</v>
      </c>
      <c r="Q217">
        <v>3020</v>
      </c>
      <c r="AC217" t="s">
        <v>41</v>
      </c>
    </row>
    <row r="218" spans="1:29" ht="12.75">
      <c r="A218" t="str">
        <f>"6584449B32"</f>
        <v>6584449B32</v>
      </c>
      <c r="B218" t="str">
        <f>"02406911202"</f>
        <v>02406911202</v>
      </c>
      <c r="C218" t="s">
        <v>13</v>
      </c>
      <c r="D218" t="s">
        <v>30</v>
      </c>
      <c r="E218" t="s">
        <v>404</v>
      </c>
      <c r="F218" t="s">
        <v>32</v>
      </c>
      <c r="G218" t="str">
        <f>"11187430159"</f>
        <v>11187430159</v>
      </c>
      <c r="I218" t="s">
        <v>152</v>
      </c>
      <c r="L218" t="s">
        <v>34</v>
      </c>
      <c r="M218">
        <v>33933928.19</v>
      </c>
      <c r="N218">
        <v>1979499.78</v>
      </c>
      <c r="O218">
        <v>29956428.46</v>
      </c>
      <c r="P218">
        <v>1997999.95</v>
      </c>
      <c r="AC218" t="s">
        <v>41</v>
      </c>
    </row>
    <row r="219" spans="1:29" ht="12.75">
      <c r="A219" t="str">
        <f>"65844560FC"</f>
        <v>65844560FC</v>
      </c>
      <c r="B219" t="str">
        <f>"02406911202"</f>
        <v>02406911202</v>
      </c>
      <c r="C219" t="s">
        <v>13</v>
      </c>
      <c r="D219" t="s">
        <v>30</v>
      </c>
      <c r="E219" t="s">
        <v>404</v>
      </c>
      <c r="F219" t="s">
        <v>32</v>
      </c>
      <c r="G219" t="str">
        <f>"02645920592"</f>
        <v>02645920592</v>
      </c>
      <c r="I219" t="s">
        <v>405</v>
      </c>
      <c r="L219" t="s">
        <v>34</v>
      </c>
      <c r="M219">
        <v>14909224.7</v>
      </c>
      <c r="N219">
        <v>834082.51</v>
      </c>
      <c r="O219">
        <v>13314655.18</v>
      </c>
      <c r="P219">
        <v>760487.01</v>
      </c>
      <c r="AC219" t="s">
        <v>41</v>
      </c>
    </row>
    <row r="220" spans="1:29" ht="12.75">
      <c r="A220" t="str">
        <f>"658446693A"</f>
        <v>658446693A</v>
      </c>
      <c r="B220" t="str">
        <f>"02406911202"</f>
        <v>02406911202</v>
      </c>
      <c r="C220" t="s">
        <v>13</v>
      </c>
      <c r="D220" t="s">
        <v>30</v>
      </c>
      <c r="E220" t="s">
        <v>404</v>
      </c>
      <c r="F220" t="s">
        <v>32</v>
      </c>
      <c r="G220" t="str">
        <f>"00082130592"</f>
        <v>00082130592</v>
      </c>
      <c r="I220" t="s">
        <v>284</v>
      </c>
      <c r="L220" t="s">
        <v>34</v>
      </c>
      <c r="M220">
        <v>3649328.96</v>
      </c>
      <c r="N220">
        <v>390999.53</v>
      </c>
      <c r="O220">
        <v>2974996.44</v>
      </c>
      <c r="P220">
        <v>283332.99</v>
      </c>
      <c r="AC220" t="s">
        <v>41</v>
      </c>
    </row>
    <row r="221" spans="1:29" ht="12.75">
      <c r="A221" t="str">
        <f>"6584472E2C"</f>
        <v>6584472E2C</v>
      </c>
      <c r="B221" t="str">
        <f>"02406911202"</f>
        <v>02406911202</v>
      </c>
      <c r="C221" t="s">
        <v>13</v>
      </c>
      <c r="D221" t="s">
        <v>30</v>
      </c>
      <c r="E221" t="s">
        <v>404</v>
      </c>
      <c r="F221" t="s">
        <v>32</v>
      </c>
      <c r="G221" t="str">
        <f>"02707070963"</f>
        <v>02707070963</v>
      </c>
      <c r="I221" t="s">
        <v>406</v>
      </c>
      <c r="L221" t="s">
        <v>34</v>
      </c>
      <c r="M221">
        <v>461999.99</v>
      </c>
      <c r="O221">
        <v>461999.99</v>
      </c>
      <c r="AC221" t="s">
        <v>41</v>
      </c>
    </row>
    <row r="222" spans="1:29" ht="12.75">
      <c r="A222" t="str">
        <f>"6422949131"</f>
        <v>6422949131</v>
      </c>
      <c r="B222" t="str">
        <f>"02406911202"</f>
        <v>02406911202</v>
      </c>
      <c r="C222" t="s">
        <v>13</v>
      </c>
      <c r="D222" t="s">
        <v>30</v>
      </c>
      <c r="E222" t="s">
        <v>407</v>
      </c>
      <c r="F222" t="s">
        <v>408</v>
      </c>
      <c r="G222" t="str">
        <f>"02095650343"</f>
        <v>02095650343</v>
      </c>
      <c r="I222" t="s">
        <v>409</v>
      </c>
      <c r="L222" t="s">
        <v>34</v>
      </c>
      <c r="M222">
        <v>200000</v>
      </c>
      <c r="O222">
        <v>200000</v>
      </c>
      <c r="AC222" t="s">
        <v>41</v>
      </c>
    </row>
    <row r="223" spans="1:29" ht="12.75">
      <c r="A223" t="str">
        <f>"6422949131"</f>
        <v>6422949131</v>
      </c>
      <c r="B223" t="str">
        <f>"02406911202"</f>
        <v>02406911202</v>
      </c>
      <c r="C223" t="s">
        <v>13</v>
      </c>
      <c r="D223" t="s">
        <v>30</v>
      </c>
      <c r="E223" t="s">
        <v>407</v>
      </c>
      <c r="F223" t="s">
        <v>408</v>
      </c>
      <c r="G223" t="str">
        <f>"02618150730"</f>
        <v>02618150730</v>
      </c>
      <c r="I223" t="s">
        <v>410</v>
      </c>
      <c r="L223" t="s">
        <v>91</v>
      </c>
      <c r="AC223" t="s">
        <v>41</v>
      </c>
    </row>
    <row r="224" spans="1:29" ht="12.75">
      <c r="A224" t="str">
        <f>"6422949131"</f>
        <v>6422949131</v>
      </c>
      <c r="B224" t="str">
        <f>"02406911202"</f>
        <v>02406911202</v>
      </c>
      <c r="C224" t="s">
        <v>13</v>
      </c>
      <c r="D224" t="s">
        <v>30</v>
      </c>
      <c r="E224" t="s">
        <v>407</v>
      </c>
      <c r="F224" t="s">
        <v>408</v>
      </c>
      <c r="G224" t="str">
        <f>"01944260221"</f>
        <v>01944260221</v>
      </c>
      <c r="I224" t="s">
        <v>411</v>
      </c>
      <c r="L224" t="s">
        <v>91</v>
      </c>
      <c r="AC224" t="s">
        <v>41</v>
      </c>
    </row>
    <row r="225" spans="1:29" ht="12.75">
      <c r="A225" t="str">
        <f>"62167207A1"</f>
        <v>62167207A1</v>
      </c>
      <c r="B225" t="str">
        <f>"02406911202"</f>
        <v>02406911202</v>
      </c>
      <c r="C225" t="s">
        <v>13</v>
      </c>
      <c r="D225" t="s">
        <v>30</v>
      </c>
      <c r="E225" t="s">
        <v>412</v>
      </c>
      <c r="F225" t="s">
        <v>32</v>
      </c>
      <c r="G225" t="str">
        <f>"06754140157"</f>
        <v>06754140157</v>
      </c>
      <c r="I225" t="s">
        <v>269</v>
      </c>
      <c r="L225" t="s">
        <v>34</v>
      </c>
      <c r="M225">
        <v>95860</v>
      </c>
      <c r="N225">
        <v>13684</v>
      </c>
      <c r="O225">
        <v>27200</v>
      </c>
      <c r="P225">
        <v>4352</v>
      </c>
      <c r="Q225">
        <v>50624</v>
      </c>
      <c r="AC225" t="s">
        <v>41</v>
      </c>
    </row>
    <row r="226" spans="1:29" ht="12.75">
      <c r="A226" t="str">
        <f>"62167207A1"</f>
        <v>62167207A1</v>
      </c>
      <c r="B226" t="str">
        <f>"02406911202"</f>
        <v>02406911202</v>
      </c>
      <c r="C226" t="s">
        <v>13</v>
      </c>
      <c r="D226" t="s">
        <v>30</v>
      </c>
      <c r="E226" t="s">
        <v>412</v>
      </c>
      <c r="F226" t="s">
        <v>32</v>
      </c>
      <c r="G226" t="str">
        <f>"08693440151"</f>
        <v>08693440151</v>
      </c>
      <c r="I226" t="s">
        <v>413</v>
      </c>
      <c r="L226" t="s">
        <v>91</v>
      </c>
      <c r="AC226" t="s">
        <v>41</v>
      </c>
    </row>
    <row r="227" spans="1:29" ht="12.75">
      <c r="A227" t="str">
        <f>"62167207A1"</f>
        <v>62167207A1</v>
      </c>
      <c r="B227" t="str">
        <f>"02406911202"</f>
        <v>02406911202</v>
      </c>
      <c r="C227" t="s">
        <v>13</v>
      </c>
      <c r="D227" t="s">
        <v>30</v>
      </c>
      <c r="E227" t="s">
        <v>412</v>
      </c>
      <c r="F227" t="s">
        <v>32</v>
      </c>
      <c r="G227" t="str">
        <f>"02405040284"</f>
        <v>02405040284</v>
      </c>
      <c r="I227" t="s">
        <v>414</v>
      </c>
      <c r="L227" t="s">
        <v>91</v>
      </c>
      <c r="AC227" t="s">
        <v>41</v>
      </c>
    </row>
    <row r="228" spans="1:29" ht="12.75">
      <c r="A228" t="str">
        <f>"62167207A1"</f>
        <v>62167207A1</v>
      </c>
      <c r="B228" t="str">
        <f>"02406911202"</f>
        <v>02406911202</v>
      </c>
      <c r="C228" t="s">
        <v>13</v>
      </c>
      <c r="D228" t="s">
        <v>30</v>
      </c>
      <c r="E228" t="s">
        <v>412</v>
      </c>
      <c r="F228" t="s">
        <v>32</v>
      </c>
      <c r="G228" t="str">
        <f>"00805390283"</f>
        <v>00805390283</v>
      </c>
      <c r="I228" t="s">
        <v>415</v>
      </c>
      <c r="L228" t="s">
        <v>91</v>
      </c>
      <c r="AC228" t="s">
        <v>41</v>
      </c>
    </row>
    <row r="229" spans="1:29" ht="12.75">
      <c r="A229" t="str">
        <f>"62167207A1"</f>
        <v>62167207A1</v>
      </c>
      <c r="B229" t="str">
        <f>"02406911202"</f>
        <v>02406911202</v>
      </c>
      <c r="C229" t="s">
        <v>13</v>
      </c>
      <c r="D229" t="s">
        <v>30</v>
      </c>
      <c r="E229" t="s">
        <v>412</v>
      </c>
      <c r="F229" t="s">
        <v>32</v>
      </c>
      <c r="G229" t="str">
        <f>"01794050151"</f>
        <v>01794050151</v>
      </c>
      <c r="I229" t="s">
        <v>416</v>
      </c>
      <c r="L229" t="s">
        <v>91</v>
      </c>
      <c r="AC229" t="s">
        <v>41</v>
      </c>
    </row>
    <row r="230" spans="1:29" ht="12.75">
      <c r="A230" t="str">
        <f>"6336397039"</f>
        <v>6336397039</v>
      </c>
      <c r="B230" t="str">
        <f>"02406911202"</f>
        <v>02406911202</v>
      </c>
      <c r="C230" t="s">
        <v>13</v>
      </c>
      <c r="D230" t="s">
        <v>30</v>
      </c>
      <c r="E230" t="s">
        <v>417</v>
      </c>
      <c r="F230" t="s">
        <v>408</v>
      </c>
      <c r="G230" t="str">
        <f>"08862820969"</f>
        <v>08862820969</v>
      </c>
      <c r="I230" t="s">
        <v>418</v>
      </c>
      <c r="L230" t="s">
        <v>91</v>
      </c>
      <c r="AC230" t="s">
        <v>41</v>
      </c>
    </row>
    <row r="231" spans="1:29" ht="12.75">
      <c r="A231" t="str">
        <f>"6336397039"</f>
        <v>6336397039</v>
      </c>
      <c r="B231" t="str">
        <f>"02406911202"</f>
        <v>02406911202</v>
      </c>
      <c r="C231" t="s">
        <v>13</v>
      </c>
      <c r="D231" t="s">
        <v>30</v>
      </c>
      <c r="E231" t="s">
        <v>417</v>
      </c>
      <c r="F231" t="s">
        <v>408</v>
      </c>
      <c r="G231" t="str">
        <f>"09699320017"</f>
        <v>09699320017</v>
      </c>
      <c r="I231" t="s">
        <v>419</v>
      </c>
      <c r="L231" t="s">
        <v>91</v>
      </c>
      <c r="AC231" t="s">
        <v>41</v>
      </c>
    </row>
    <row r="232" spans="1:29" ht="12.75">
      <c r="A232" t="str">
        <f>"6336397039"</f>
        <v>6336397039</v>
      </c>
      <c r="B232" t="str">
        <f>"02406911202"</f>
        <v>02406911202</v>
      </c>
      <c r="C232" t="s">
        <v>13</v>
      </c>
      <c r="D232" t="s">
        <v>30</v>
      </c>
      <c r="E232" t="s">
        <v>417</v>
      </c>
      <c r="F232" t="s">
        <v>408</v>
      </c>
      <c r="G232" t="str">
        <f>"11206730159"</f>
        <v>11206730159</v>
      </c>
      <c r="I232" t="s">
        <v>65</v>
      </c>
      <c r="L232" t="s">
        <v>91</v>
      </c>
      <c r="AC232" t="s">
        <v>41</v>
      </c>
    </row>
    <row r="233" spans="1:29" ht="12.75">
      <c r="A233" t="str">
        <f>"6336397039"</f>
        <v>6336397039</v>
      </c>
      <c r="B233" t="str">
        <f>"02406911202"</f>
        <v>02406911202</v>
      </c>
      <c r="C233" t="s">
        <v>13</v>
      </c>
      <c r="D233" t="s">
        <v>30</v>
      </c>
      <c r="E233" t="s">
        <v>417</v>
      </c>
      <c r="F233" t="s">
        <v>408</v>
      </c>
      <c r="G233" t="str">
        <f>"03544600137"</f>
        <v>03544600137</v>
      </c>
      <c r="I233" t="s">
        <v>420</v>
      </c>
      <c r="L233" t="s">
        <v>34</v>
      </c>
      <c r="M233">
        <v>79100</v>
      </c>
      <c r="N233">
        <v>35000</v>
      </c>
      <c r="O233">
        <v>9100</v>
      </c>
      <c r="S233">
        <v>35000</v>
      </c>
      <c r="AC233" t="s">
        <v>41</v>
      </c>
    </row>
    <row r="234" spans="1:29" ht="12.75">
      <c r="A234" t="str">
        <f>"6336397039"</f>
        <v>6336397039</v>
      </c>
      <c r="B234" t="str">
        <f>"02406911202"</f>
        <v>02406911202</v>
      </c>
      <c r="C234" t="s">
        <v>13</v>
      </c>
      <c r="D234" t="s">
        <v>30</v>
      </c>
      <c r="E234" t="s">
        <v>417</v>
      </c>
      <c r="F234" t="s">
        <v>408</v>
      </c>
      <c r="G234" t="str">
        <f>"09238800156"</f>
        <v>09238800156</v>
      </c>
      <c r="I234" t="s">
        <v>72</v>
      </c>
      <c r="L234" t="s">
        <v>91</v>
      </c>
      <c r="AC234" t="s">
        <v>41</v>
      </c>
    </row>
    <row r="235" spans="1:29" ht="12.75">
      <c r="A235" t="str">
        <f>"65936178DF"</f>
        <v>65936178DF</v>
      </c>
      <c r="B235" t="str">
        <f>"02406911202"</f>
        <v>02406911202</v>
      </c>
      <c r="C235" t="s">
        <v>13</v>
      </c>
      <c r="D235" t="s">
        <v>30</v>
      </c>
      <c r="E235" t="s">
        <v>421</v>
      </c>
      <c r="F235" t="s">
        <v>32</v>
      </c>
      <c r="G235" t="str">
        <f>"02707070963"</f>
        <v>02707070963</v>
      </c>
      <c r="I235" t="s">
        <v>406</v>
      </c>
      <c r="L235" t="s">
        <v>34</v>
      </c>
      <c r="M235">
        <v>4291905.8</v>
      </c>
      <c r="N235">
        <v>58705.97</v>
      </c>
      <c r="O235">
        <v>4225967.94</v>
      </c>
      <c r="P235">
        <v>7231.89</v>
      </c>
      <c r="Z235">
        <v>13566.93</v>
      </c>
      <c r="AC235" t="s">
        <v>41</v>
      </c>
    </row>
    <row r="236" spans="1:29" ht="12.75">
      <c r="A236" t="str">
        <f>"65936292C8"</f>
        <v>65936292C8</v>
      </c>
      <c r="B236" t="str">
        <f>"02406911202"</f>
        <v>02406911202</v>
      </c>
      <c r="C236" t="s">
        <v>13</v>
      </c>
      <c r="D236" t="s">
        <v>30</v>
      </c>
      <c r="E236" t="s">
        <v>421</v>
      </c>
      <c r="F236" t="s">
        <v>32</v>
      </c>
      <c r="G236" t="str">
        <f>"00735390155"</f>
        <v>00735390155</v>
      </c>
      <c r="I236" t="s">
        <v>156</v>
      </c>
      <c r="L236" t="s">
        <v>34</v>
      </c>
      <c r="M236">
        <v>48155.1</v>
      </c>
      <c r="N236">
        <v>31395</v>
      </c>
      <c r="O236">
        <v>13282.5</v>
      </c>
      <c r="P236">
        <v>3477.6</v>
      </c>
      <c r="AC236" t="s">
        <v>41</v>
      </c>
    </row>
    <row r="237" spans="1:29" ht="12.75">
      <c r="A237" t="str">
        <f>"6593639B06"</f>
        <v>6593639B06</v>
      </c>
      <c r="B237" t="str">
        <f>"02406911202"</f>
        <v>02406911202</v>
      </c>
      <c r="C237" t="s">
        <v>13</v>
      </c>
      <c r="D237" t="s">
        <v>30</v>
      </c>
      <c r="E237" t="s">
        <v>421</v>
      </c>
      <c r="F237" t="s">
        <v>32</v>
      </c>
      <c r="G237" t="str">
        <f>"00421210485"</f>
        <v>00421210485</v>
      </c>
      <c r="I237" t="s">
        <v>147</v>
      </c>
      <c r="L237" t="s">
        <v>34</v>
      </c>
      <c r="M237">
        <v>73098.9</v>
      </c>
      <c r="N237">
        <v>38745</v>
      </c>
      <c r="O237">
        <v>32287.5</v>
      </c>
      <c r="P237">
        <v>2066.4</v>
      </c>
      <c r="AC237" t="s">
        <v>41</v>
      </c>
    </row>
    <row r="238" spans="1:29" ht="12.75">
      <c r="A238" t="str">
        <f>"6593649349"</f>
        <v>6593649349</v>
      </c>
      <c r="B238" t="str">
        <f>"02406911202"</f>
        <v>02406911202</v>
      </c>
      <c r="C238" t="s">
        <v>13</v>
      </c>
      <c r="D238" t="s">
        <v>30</v>
      </c>
      <c r="E238" t="s">
        <v>421</v>
      </c>
      <c r="F238" t="s">
        <v>32</v>
      </c>
      <c r="G238" t="str">
        <f>"11187430159"</f>
        <v>11187430159</v>
      </c>
      <c r="I238" t="s">
        <v>152</v>
      </c>
      <c r="L238" t="s">
        <v>34</v>
      </c>
      <c r="M238">
        <v>198720.86</v>
      </c>
      <c r="O238">
        <v>198720.86</v>
      </c>
      <c r="AC238" t="s">
        <v>41</v>
      </c>
    </row>
    <row r="239" spans="1:29" ht="12.75">
      <c r="A239" t="str">
        <f>"659365583B"</f>
        <v>659365583B</v>
      </c>
      <c r="B239" t="str">
        <f>"02406911202"</f>
        <v>02406911202</v>
      </c>
      <c r="C239" t="s">
        <v>13</v>
      </c>
      <c r="D239" t="s">
        <v>30</v>
      </c>
      <c r="E239" t="s">
        <v>421</v>
      </c>
      <c r="F239" t="s">
        <v>32</v>
      </c>
      <c r="G239" t="str">
        <f>"00696360155"</f>
        <v>00696360155</v>
      </c>
      <c r="I239" t="s">
        <v>277</v>
      </c>
      <c r="L239" t="s">
        <v>34</v>
      </c>
      <c r="M239">
        <v>3018.67</v>
      </c>
      <c r="O239">
        <v>3018.67</v>
      </c>
      <c r="AC239" t="s">
        <v>41</v>
      </c>
    </row>
    <row r="240" spans="1:29" ht="12.75">
      <c r="A240" t="str">
        <f>"6599232286"</f>
        <v>6599232286</v>
      </c>
      <c r="B240" t="str">
        <f>"02406911202"</f>
        <v>02406911202</v>
      </c>
      <c r="C240" t="s">
        <v>13</v>
      </c>
      <c r="D240" t="s">
        <v>30</v>
      </c>
      <c r="E240" t="s">
        <v>422</v>
      </c>
      <c r="F240" t="s">
        <v>32</v>
      </c>
      <c r="G240" t="str">
        <f>"00208260380"</f>
        <v>00208260380</v>
      </c>
      <c r="I240" t="s">
        <v>423</v>
      </c>
      <c r="L240" t="s">
        <v>34</v>
      </c>
      <c r="M240">
        <v>51800</v>
      </c>
      <c r="O240">
        <v>51800</v>
      </c>
      <c r="AC240" t="s">
        <v>41</v>
      </c>
    </row>
    <row r="241" spans="1:29" ht="12.75">
      <c r="A241" t="str">
        <f>"66007306B5"</f>
        <v>66007306B5</v>
      </c>
      <c r="B241" t="str">
        <f>"02406911202"</f>
        <v>02406911202</v>
      </c>
      <c r="C241" t="s">
        <v>13</v>
      </c>
      <c r="D241" t="s">
        <v>30</v>
      </c>
      <c r="E241" t="s">
        <v>424</v>
      </c>
      <c r="F241" t="s">
        <v>32</v>
      </c>
      <c r="G241" t="str">
        <f>"00747880151"</f>
        <v>00747880151</v>
      </c>
      <c r="I241" t="s">
        <v>289</v>
      </c>
      <c r="L241" t="s">
        <v>34</v>
      </c>
      <c r="M241">
        <v>93000</v>
      </c>
      <c r="O241">
        <v>93000</v>
      </c>
      <c r="AC241" t="s">
        <v>41</v>
      </c>
    </row>
    <row r="242" spans="1:29" ht="12.75">
      <c r="A242" t="str">
        <f>"65997638B6"</f>
        <v>65997638B6</v>
      </c>
      <c r="B242" t="str">
        <f>"02406911202"</f>
        <v>02406911202</v>
      </c>
      <c r="C242" t="s">
        <v>13</v>
      </c>
      <c r="D242" t="s">
        <v>30</v>
      </c>
      <c r="E242" t="s">
        <v>425</v>
      </c>
      <c r="F242" t="s">
        <v>32</v>
      </c>
      <c r="G242" t="str">
        <f>"02645920592"</f>
        <v>02645920592</v>
      </c>
      <c r="I242" t="s">
        <v>405</v>
      </c>
      <c r="L242" t="s">
        <v>34</v>
      </c>
      <c r="M242">
        <v>4030945.5</v>
      </c>
      <c r="N242">
        <v>2011138.4</v>
      </c>
      <c r="O242">
        <v>1598508.28</v>
      </c>
      <c r="P242">
        <v>412630.12</v>
      </c>
      <c r="Q242">
        <v>8668.7</v>
      </c>
      <c r="AC242" t="s">
        <v>41</v>
      </c>
    </row>
    <row r="243" spans="1:29" ht="12.75">
      <c r="A243" t="str">
        <f>"6599772026"</f>
        <v>6599772026</v>
      </c>
      <c r="B243" t="str">
        <f>"02406911202"</f>
        <v>02406911202</v>
      </c>
      <c r="C243" t="s">
        <v>13</v>
      </c>
      <c r="D243" t="s">
        <v>30</v>
      </c>
      <c r="E243" t="s">
        <v>425</v>
      </c>
      <c r="F243" t="s">
        <v>32</v>
      </c>
      <c r="G243" t="str">
        <f>"00890231004"</f>
        <v>00890231004</v>
      </c>
      <c r="I243" t="s">
        <v>426</v>
      </c>
      <c r="L243" t="s">
        <v>34</v>
      </c>
      <c r="M243">
        <v>122431.22</v>
      </c>
      <c r="N243">
        <v>83857</v>
      </c>
      <c r="O243">
        <v>38574.22</v>
      </c>
      <c r="AC243" t="s">
        <v>41</v>
      </c>
    </row>
    <row r="244" spans="1:29" ht="12.75">
      <c r="A244" t="str">
        <f>"6599778518"</f>
        <v>6599778518</v>
      </c>
      <c r="B244" t="str">
        <f>"02406911202"</f>
        <v>02406911202</v>
      </c>
      <c r="C244" t="s">
        <v>13</v>
      </c>
      <c r="D244" t="s">
        <v>30</v>
      </c>
      <c r="E244" t="s">
        <v>425</v>
      </c>
      <c r="F244" t="s">
        <v>32</v>
      </c>
      <c r="G244" t="str">
        <f>"05665070966"</f>
        <v>05665070966</v>
      </c>
      <c r="I244" t="s">
        <v>427</v>
      </c>
      <c r="L244" t="s">
        <v>34</v>
      </c>
      <c r="M244">
        <v>1992720</v>
      </c>
      <c r="O244">
        <v>1992720</v>
      </c>
      <c r="AC244" t="s">
        <v>41</v>
      </c>
    </row>
    <row r="245" spans="1:29" ht="12.75">
      <c r="A245" t="str">
        <f>"6599781791"</f>
        <v>6599781791</v>
      </c>
      <c r="B245" t="str">
        <f>"02406911202"</f>
        <v>02406911202</v>
      </c>
      <c r="C245" t="s">
        <v>13</v>
      </c>
      <c r="D245" t="s">
        <v>30</v>
      </c>
      <c r="E245" t="s">
        <v>425</v>
      </c>
      <c r="F245" t="s">
        <v>32</v>
      </c>
      <c r="G245" t="str">
        <f>"06037901003"</f>
        <v>06037901003</v>
      </c>
      <c r="I245" t="s">
        <v>428</v>
      </c>
      <c r="L245" t="s">
        <v>34</v>
      </c>
      <c r="M245">
        <v>84185.2</v>
      </c>
      <c r="N245">
        <v>79420</v>
      </c>
      <c r="O245">
        <v>4765.2</v>
      </c>
      <c r="AC245" t="s">
        <v>41</v>
      </c>
    </row>
    <row r="246" spans="1:29" ht="12.75">
      <c r="A246" t="str">
        <f>"6599788D56"</f>
        <v>6599788D56</v>
      </c>
      <c r="B246" t="str">
        <f>"02406911202"</f>
        <v>02406911202</v>
      </c>
      <c r="C246" t="s">
        <v>13</v>
      </c>
      <c r="D246" t="s">
        <v>30</v>
      </c>
      <c r="E246" t="s">
        <v>425</v>
      </c>
      <c r="F246" t="s">
        <v>32</v>
      </c>
      <c r="G246" t="str">
        <f>"05849130157"</f>
        <v>05849130157</v>
      </c>
      <c r="I246" t="s">
        <v>144</v>
      </c>
      <c r="L246" t="s">
        <v>34</v>
      </c>
      <c r="M246">
        <v>957248.54</v>
      </c>
      <c r="N246">
        <v>683821.74</v>
      </c>
      <c r="O246">
        <v>5985.42</v>
      </c>
      <c r="P246">
        <v>254327.79</v>
      </c>
      <c r="Q246">
        <v>13113.59</v>
      </c>
      <c r="AC246" t="s">
        <v>41</v>
      </c>
    </row>
    <row r="247" spans="1:29" ht="12.75">
      <c r="A247" t="str">
        <f>"65997974C6"</f>
        <v>65997974C6</v>
      </c>
      <c r="B247" t="str">
        <f>"02406911202"</f>
        <v>02406911202</v>
      </c>
      <c r="C247" t="s">
        <v>13</v>
      </c>
      <c r="D247" t="s">
        <v>30</v>
      </c>
      <c r="E247" t="s">
        <v>425</v>
      </c>
      <c r="F247" t="s">
        <v>32</v>
      </c>
      <c r="G247" t="str">
        <f>"00421210485"</f>
        <v>00421210485</v>
      </c>
      <c r="I247" t="s">
        <v>147</v>
      </c>
      <c r="L247" t="s">
        <v>34</v>
      </c>
      <c r="M247">
        <v>1242652.1</v>
      </c>
      <c r="N247">
        <v>1071927</v>
      </c>
      <c r="O247">
        <v>5560.43</v>
      </c>
      <c r="P247">
        <v>150849</v>
      </c>
      <c r="Q247">
        <v>14315.67</v>
      </c>
      <c r="AC247" t="s">
        <v>41</v>
      </c>
    </row>
    <row r="248" spans="1:29" ht="12.75">
      <c r="A248" t="str">
        <f>"6599805B5E"</f>
        <v>6599805B5E</v>
      </c>
      <c r="B248" t="str">
        <f>"02406911202"</f>
        <v>02406911202</v>
      </c>
      <c r="C248" t="s">
        <v>13</v>
      </c>
      <c r="D248" t="s">
        <v>30</v>
      </c>
      <c r="E248" t="s">
        <v>425</v>
      </c>
      <c r="F248" t="s">
        <v>32</v>
      </c>
      <c r="G248" t="str">
        <f>"01726510595"</f>
        <v>01726510595</v>
      </c>
      <c r="I248" t="s">
        <v>429</v>
      </c>
      <c r="L248" t="s">
        <v>34</v>
      </c>
      <c r="M248">
        <v>805476</v>
      </c>
      <c r="O248">
        <v>805476</v>
      </c>
      <c r="AC248" t="s">
        <v>41</v>
      </c>
    </row>
    <row r="249" spans="1:29" ht="12.75">
      <c r="A249" t="str">
        <f>"6599811055"</f>
        <v>6599811055</v>
      </c>
      <c r="B249" t="str">
        <f>"02406911202"</f>
        <v>02406911202</v>
      </c>
      <c r="C249" t="s">
        <v>13</v>
      </c>
      <c r="D249" t="s">
        <v>30</v>
      </c>
      <c r="E249" t="s">
        <v>425</v>
      </c>
      <c r="F249" t="s">
        <v>32</v>
      </c>
      <c r="G249" t="str">
        <f>"05038691001"</f>
        <v>05038691001</v>
      </c>
      <c r="I249" t="s">
        <v>149</v>
      </c>
      <c r="L249" t="s">
        <v>34</v>
      </c>
      <c r="M249">
        <v>19152.02</v>
      </c>
      <c r="N249">
        <v>17392.33</v>
      </c>
      <c r="O249">
        <v>122.77</v>
      </c>
      <c r="Q249">
        <v>1636.92</v>
      </c>
      <c r="AC249" t="s">
        <v>41</v>
      </c>
    </row>
    <row r="250" spans="1:29" ht="12.75">
      <c r="A250" t="str">
        <f>"6599825BDF"</f>
        <v>6599825BDF</v>
      </c>
      <c r="B250" t="str">
        <f>"02406911202"</f>
        <v>02406911202</v>
      </c>
      <c r="C250" t="s">
        <v>13</v>
      </c>
      <c r="D250" t="s">
        <v>30</v>
      </c>
      <c r="E250" t="s">
        <v>425</v>
      </c>
      <c r="F250" t="s">
        <v>32</v>
      </c>
      <c r="G250" t="str">
        <f>"11187430159"</f>
        <v>11187430159</v>
      </c>
      <c r="I250" t="s">
        <v>152</v>
      </c>
      <c r="L250" t="s">
        <v>34</v>
      </c>
      <c r="M250">
        <v>71854.2</v>
      </c>
      <c r="N250">
        <v>45725.4</v>
      </c>
      <c r="O250">
        <v>26128.8</v>
      </c>
      <c r="AC250" t="s">
        <v>41</v>
      </c>
    </row>
    <row r="251" spans="1:29" ht="12.75">
      <c r="A251" t="str">
        <f>"6599861995"</f>
        <v>6599861995</v>
      </c>
      <c r="B251" t="str">
        <f>"02406911202"</f>
        <v>02406911202</v>
      </c>
      <c r="C251" t="s">
        <v>13</v>
      </c>
      <c r="D251" t="s">
        <v>30</v>
      </c>
      <c r="E251" t="s">
        <v>425</v>
      </c>
      <c r="F251" t="s">
        <v>32</v>
      </c>
      <c r="G251" t="str">
        <f>"00212840235"</f>
        <v>00212840235</v>
      </c>
      <c r="I251" t="s">
        <v>151</v>
      </c>
      <c r="L251" t="s">
        <v>34</v>
      </c>
      <c r="M251">
        <v>2965.2</v>
      </c>
      <c r="N251">
        <v>2965.2</v>
      </c>
      <c r="AC251" t="s">
        <v>41</v>
      </c>
    </row>
    <row r="252" spans="1:29" ht="12.75">
      <c r="A252" t="str">
        <f>"6599864C0E"</f>
        <v>6599864C0E</v>
      </c>
      <c r="B252" t="str">
        <f>"02406911202"</f>
        <v>02406911202</v>
      </c>
      <c r="C252" t="s">
        <v>13</v>
      </c>
      <c r="D252" t="s">
        <v>30</v>
      </c>
      <c r="E252" t="s">
        <v>425</v>
      </c>
      <c r="F252" t="s">
        <v>32</v>
      </c>
      <c r="G252" t="str">
        <f>"02707070963"</f>
        <v>02707070963</v>
      </c>
      <c r="I252" t="s">
        <v>406</v>
      </c>
      <c r="L252" t="s">
        <v>34</v>
      </c>
      <c r="M252">
        <v>1678430.19</v>
      </c>
      <c r="N252">
        <v>395835.35</v>
      </c>
      <c r="O252">
        <v>1188491.41</v>
      </c>
      <c r="P252">
        <v>94103.43</v>
      </c>
      <c r="AC252" t="s">
        <v>41</v>
      </c>
    </row>
    <row r="253" spans="1:29" ht="12.75">
      <c r="A253" t="str">
        <f>"6599875524"</f>
        <v>6599875524</v>
      </c>
      <c r="B253" t="str">
        <f>"02406911202"</f>
        <v>02406911202</v>
      </c>
      <c r="C253" t="s">
        <v>13</v>
      </c>
      <c r="D253" t="s">
        <v>30</v>
      </c>
      <c r="E253" t="s">
        <v>425</v>
      </c>
      <c r="F253" t="s">
        <v>32</v>
      </c>
      <c r="G253" t="str">
        <f>"11815361008"</f>
        <v>11815361008</v>
      </c>
      <c r="I253" t="s">
        <v>430</v>
      </c>
      <c r="L253" t="s">
        <v>34</v>
      </c>
      <c r="M253">
        <v>13318.8</v>
      </c>
      <c r="N253">
        <v>2410.8</v>
      </c>
      <c r="O253">
        <v>10908</v>
      </c>
      <c r="AC253" t="s">
        <v>41</v>
      </c>
    </row>
    <row r="254" spans="1:29" ht="12.75">
      <c r="A254" t="str">
        <f>"6599880943"</f>
        <v>6599880943</v>
      </c>
      <c r="B254" t="str">
        <f>"02406911202"</f>
        <v>02406911202</v>
      </c>
      <c r="C254" t="s">
        <v>13</v>
      </c>
      <c r="D254" t="s">
        <v>30</v>
      </c>
      <c r="E254" t="s">
        <v>425</v>
      </c>
      <c r="F254" t="s">
        <v>32</v>
      </c>
      <c r="G254" t="str">
        <f>"00887261006"</f>
        <v>00887261006</v>
      </c>
      <c r="I254" t="s">
        <v>431</v>
      </c>
      <c r="L254" t="s">
        <v>34</v>
      </c>
      <c r="M254">
        <v>1910702.87</v>
      </c>
      <c r="N254">
        <v>449160.54</v>
      </c>
      <c r="O254">
        <v>1276448.23</v>
      </c>
      <c r="P254">
        <v>47785.8</v>
      </c>
      <c r="Q254">
        <v>137308.3</v>
      </c>
      <c r="AC254" t="s">
        <v>41</v>
      </c>
    </row>
    <row r="255" spans="1:29" ht="12.75">
      <c r="A255" t="str">
        <f>"6599886E35"</f>
        <v>6599886E35</v>
      </c>
      <c r="B255" t="str">
        <f>"02406911202"</f>
        <v>02406911202</v>
      </c>
      <c r="C255" t="s">
        <v>13</v>
      </c>
      <c r="D255" t="s">
        <v>30</v>
      </c>
      <c r="E255" t="s">
        <v>425</v>
      </c>
      <c r="F255" t="s">
        <v>32</v>
      </c>
      <c r="G255" t="str">
        <f>"02385200122"</f>
        <v>02385200122</v>
      </c>
      <c r="I255" t="s">
        <v>432</v>
      </c>
      <c r="L255" t="s">
        <v>34</v>
      </c>
      <c r="M255">
        <v>110185.25</v>
      </c>
      <c r="O255">
        <v>110185.25</v>
      </c>
      <c r="AC255" t="s">
        <v>41</v>
      </c>
    </row>
    <row r="256" spans="1:29" ht="12.75">
      <c r="A256" t="str">
        <f>"65998955A5"</f>
        <v>65998955A5</v>
      </c>
      <c r="B256" t="str">
        <f>"02406911202"</f>
        <v>02406911202</v>
      </c>
      <c r="C256" t="s">
        <v>13</v>
      </c>
      <c r="D256" t="s">
        <v>30</v>
      </c>
      <c r="E256" t="s">
        <v>425</v>
      </c>
      <c r="F256" t="s">
        <v>32</v>
      </c>
      <c r="G256" t="str">
        <f>"02457060032"</f>
        <v>02457060032</v>
      </c>
      <c r="I256" t="s">
        <v>433</v>
      </c>
      <c r="L256" t="s">
        <v>34</v>
      </c>
      <c r="M256">
        <v>149490.09</v>
      </c>
      <c r="N256">
        <v>93240.04</v>
      </c>
      <c r="O256">
        <v>56250.05</v>
      </c>
      <c r="AC256" t="s">
        <v>41</v>
      </c>
    </row>
    <row r="257" spans="1:29" ht="12.75">
      <c r="A257" t="str">
        <f>"6599914553"</f>
        <v>6599914553</v>
      </c>
      <c r="B257" t="str">
        <f>"02406911202"</f>
        <v>02406911202</v>
      </c>
      <c r="C257" t="s">
        <v>13</v>
      </c>
      <c r="D257" t="s">
        <v>30</v>
      </c>
      <c r="E257" t="s">
        <v>425</v>
      </c>
      <c r="F257" t="s">
        <v>32</v>
      </c>
      <c r="G257" t="str">
        <f>"01781570591"</f>
        <v>01781570591</v>
      </c>
      <c r="I257" t="s">
        <v>434</v>
      </c>
      <c r="L257" t="s">
        <v>34</v>
      </c>
      <c r="M257">
        <v>3329661.34</v>
      </c>
      <c r="N257">
        <v>2239783.09</v>
      </c>
      <c r="O257">
        <v>822112.38</v>
      </c>
      <c r="P257">
        <v>259378.57</v>
      </c>
      <c r="Q257">
        <v>8387.3</v>
      </c>
      <c r="AC257" t="s">
        <v>41</v>
      </c>
    </row>
    <row r="258" spans="1:29" ht="12.75">
      <c r="A258" t="str">
        <f>"65999166F9"</f>
        <v>65999166F9</v>
      </c>
      <c r="B258" t="str">
        <f>"02406911202"</f>
        <v>02406911202</v>
      </c>
      <c r="C258" t="s">
        <v>13</v>
      </c>
      <c r="D258" t="s">
        <v>30</v>
      </c>
      <c r="E258" t="s">
        <v>425</v>
      </c>
      <c r="F258" t="s">
        <v>32</v>
      </c>
      <c r="G258" t="str">
        <f>"00747170157"</f>
        <v>00747170157</v>
      </c>
      <c r="I258" t="s">
        <v>435</v>
      </c>
      <c r="L258" t="s">
        <v>34</v>
      </c>
      <c r="M258">
        <v>906366.52</v>
      </c>
      <c r="N258">
        <v>247929.29</v>
      </c>
      <c r="O258">
        <v>564876.29</v>
      </c>
      <c r="P258">
        <v>9742.94</v>
      </c>
      <c r="Q258">
        <v>83818</v>
      </c>
      <c r="AC258" t="s">
        <v>41</v>
      </c>
    </row>
    <row r="259" spans="1:29" ht="12.75">
      <c r="A259" t="str">
        <f>"65999280E2"</f>
        <v>65999280E2</v>
      </c>
      <c r="B259" t="str">
        <f>"02406911202"</f>
        <v>02406911202</v>
      </c>
      <c r="C259" t="s">
        <v>13</v>
      </c>
      <c r="D259" t="s">
        <v>30</v>
      </c>
      <c r="E259" t="s">
        <v>425</v>
      </c>
      <c r="F259" t="s">
        <v>32</v>
      </c>
      <c r="G259" t="str">
        <f>"05104850481"</f>
        <v>05104850481</v>
      </c>
      <c r="I259" t="s">
        <v>436</v>
      </c>
      <c r="L259" t="s">
        <v>34</v>
      </c>
      <c r="M259">
        <v>306217.96</v>
      </c>
      <c r="O259">
        <v>306217.96</v>
      </c>
      <c r="AC259" t="s">
        <v>41</v>
      </c>
    </row>
    <row r="260" spans="1:29" ht="12.75">
      <c r="A260" t="str">
        <f>"65999345D4"</f>
        <v>65999345D4</v>
      </c>
      <c r="B260" t="str">
        <f>"02406911202"</f>
        <v>02406911202</v>
      </c>
      <c r="C260" t="s">
        <v>13</v>
      </c>
      <c r="D260" t="s">
        <v>30</v>
      </c>
      <c r="E260" t="s">
        <v>425</v>
      </c>
      <c r="F260" t="s">
        <v>32</v>
      </c>
      <c r="G260" t="str">
        <f>"05288990962"</f>
        <v>05288990962</v>
      </c>
      <c r="I260" t="s">
        <v>322</v>
      </c>
      <c r="L260" t="s">
        <v>34</v>
      </c>
      <c r="M260">
        <v>92799.26</v>
      </c>
      <c r="N260">
        <v>4940.04</v>
      </c>
      <c r="O260">
        <v>71038.64</v>
      </c>
      <c r="P260">
        <v>16820.58</v>
      </c>
      <c r="AC260" t="s">
        <v>41</v>
      </c>
    </row>
    <row r="261" spans="1:29" ht="12.75">
      <c r="A261" t="str">
        <f>"6599940AC6"</f>
        <v>6599940AC6</v>
      </c>
      <c r="B261" t="str">
        <f>"02406911202"</f>
        <v>02406911202</v>
      </c>
      <c r="C261" t="s">
        <v>13</v>
      </c>
      <c r="D261" t="s">
        <v>30</v>
      </c>
      <c r="E261" t="s">
        <v>425</v>
      </c>
      <c r="F261" t="s">
        <v>32</v>
      </c>
      <c r="G261" t="str">
        <f>"00471770016"</f>
        <v>00471770016</v>
      </c>
      <c r="I261" t="s">
        <v>437</v>
      </c>
      <c r="L261" t="s">
        <v>34</v>
      </c>
      <c r="M261">
        <v>114752.4</v>
      </c>
      <c r="N261">
        <v>68305</v>
      </c>
      <c r="O261">
        <v>46447.4</v>
      </c>
      <c r="AC261" t="s">
        <v>41</v>
      </c>
    </row>
    <row r="262" spans="1:29" ht="12.75">
      <c r="A262" t="str">
        <f>"65946079D8"</f>
        <v>65946079D8</v>
      </c>
      <c r="B262" t="str">
        <f>"02406911202"</f>
        <v>02406911202</v>
      </c>
      <c r="C262" t="s">
        <v>13</v>
      </c>
      <c r="D262" t="s">
        <v>30</v>
      </c>
      <c r="E262" t="s">
        <v>438</v>
      </c>
      <c r="F262" t="s">
        <v>32</v>
      </c>
      <c r="G262" t="str">
        <f>"09058160152"</f>
        <v>09058160152</v>
      </c>
      <c r="I262" t="s">
        <v>84</v>
      </c>
      <c r="L262" t="s">
        <v>34</v>
      </c>
      <c r="M262">
        <v>34995</v>
      </c>
      <c r="O262">
        <v>34995</v>
      </c>
      <c r="AC262" t="s">
        <v>41</v>
      </c>
    </row>
    <row r="263" spans="1:29" ht="12.75">
      <c r="A263" t="str">
        <f>"65852976FE"</f>
        <v>65852976FE</v>
      </c>
      <c r="B263" t="str">
        <f>"02406911202"</f>
        <v>02406911202</v>
      </c>
      <c r="C263" t="s">
        <v>13</v>
      </c>
      <c r="D263" t="s">
        <v>30</v>
      </c>
      <c r="E263" t="s">
        <v>439</v>
      </c>
      <c r="F263" t="s">
        <v>32</v>
      </c>
      <c r="G263" t="str">
        <f>"05653560960"</f>
        <v>05653560960</v>
      </c>
      <c r="I263" t="s">
        <v>440</v>
      </c>
      <c r="L263" t="s">
        <v>34</v>
      </c>
      <c r="M263">
        <v>57000</v>
      </c>
      <c r="P263">
        <v>57000</v>
      </c>
      <c r="AC263" t="s">
        <v>41</v>
      </c>
    </row>
    <row r="264" spans="1:29" ht="12.75">
      <c r="A264" t="str">
        <f>"6607719E34"</f>
        <v>6607719E34</v>
      </c>
      <c r="B264" t="str">
        <f>"02406911202"</f>
        <v>02406911202</v>
      </c>
      <c r="C264" t="s">
        <v>13</v>
      </c>
      <c r="D264" t="s">
        <v>30</v>
      </c>
      <c r="E264" t="s">
        <v>441</v>
      </c>
      <c r="F264" t="s">
        <v>32</v>
      </c>
      <c r="G264" t="str">
        <f>"00212840235"</f>
        <v>00212840235</v>
      </c>
      <c r="I264" t="s">
        <v>151</v>
      </c>
      <c r="L264" t="s">
        <v>34</v>
      </c>
      <c r="M264">
        <v>181034</v>
      </c>
      <c r="N264">
        <v>135100</v>
      </c>
      <c r="P264">
        <v>45934</v>
      </c>
      <c r="AC264" t="s">
        <v>41</v>
      </c>
    </row>
    <row r="265" spans="1:29" ht="12.75">
      <c r="A265" t="str">
        <f>"66033844DC"</f>
        <v>66033844DC</v>
      </c>
      <c r="B265" t="str">
        <f>"02406911202"</f>
        <v>02406911202</v>
      </c>
      <c r="C265" t="s">
        <v>13</v>
      </c>
      <c r="D265" t="s">
        <v>30</v>
      </c>
      <c r="E265" t="s">
        <v>442</v>
      </c>
      <c r="F265" t="s">
        <v>46</v>
      </c>
      <c r="G265" t="str">
        <f>"06324460150"</f>
        <v>06324460150</v>
      </c>
      <c r="I265" t="s">
        <v>357</v>
      </c>
      <c r="L265" t="s">
        <v>34</v>
      </c>
      <c r="M265">
        <v>93400</v>
      </c>
      <c r="N265">
        <v>40000</v>
      </c>
      <c r="P265">
        <v>24400</v>
      </c>
      <c r="Q265">
        <v>9400</v>
      </c>
      <c r="S265">
        <v>19600</v>
      </c>
      <c r="AC265" t="s">
        <v>41</v>
      </c>
    </row>
    <row r="266" spans="1:29" ht="12.75">
      <c r="A266" t="str">
        <f>"66074521E2"</f>
        <v>66074521E2</v>
      </c>
      <c r="B266" t="str">
        <f>"02406911202"</f>
        <v>02406911202</v>
      </c>
      <c r="C266" t="s">
        <v>13</v>
      </c>
      <c r="D266" t="s">
        <v>30</v>
      </c>
      <c r="E266" t="s">
        <v>443</v>
      </c>
      <c r="F266" t="s">
        <v>46</v>
      </c>
      <c r="G266" t="str">
        <f>"11206730159"</f>
        <v>11206730159</v>
      </c>
      <c r="I266" t="s">
        <v>65</v>
      </c>
      <c r="L266" t="s">
        <v>34</v>
      </c>
      <c r="M266">
        <v>154160</v>
      </c>
      <c r="O266">
        <v>84760</v>
      </c>
      <c r="S266">
        <v>69400</v>
      </c>
      <c r="AC266" t="s">
        <v>41</v>
      </c>
    </row>
    <row r="267" spans="1:29" ht="12.75">
      <c r="A267" t="str">
        <f>"6595245857"</f>
        <v>6595245857</v>
      </c>
      <c r="B267" t="str">
        <f>"02406911202"</f>
        <v>02406911202</v>
      </c>
      <c r="C267" t="s">
        <v>13</v>
      </c>
      <c r="D267" t="s">
        <v>30</v>
      </c>
      <c r="E267" t="s">
        <v>444</v>
      </c>
      <c r="F267" t="s">
        <v>32</v>
      </c>
      <c r="G267" t="str">
        <f>"10994940152"</f>
        <v>10994940152</v>
      </c>
      <c r="I267" t="s">
        <v>257</v>
      </c>
      <c r="L267" t="s">
        <v>34</v>
      </c>
      <c r="M267">
        <v>94972</v>
      </c>
      <c r="O267">
        <v>94972</v>
      </c>
      <c r="AC267" t="s">
        <v>41</v>
      </c>
    </row>
    <row r="268" spans="1:29" ht="12.75">
      <c r="A268" t="str">
        <f>"656388406F"</f>
        <v>656388406F</v>
      </c>
      <c r="B268" t="str">
        <f>"02406911202"</f>
        <v>02406911202</v>
      </c>
      <c r="C268" t="s">
        <v>13</v>
      </c>
      <c r="D268" t="s">
        <v>30</v>
      </c>
      <c r="E268" t="s">
        <v>445</v>
      </c>
      <c r="F268" t="s">
        <v>32</v>
      </c>
      <c r="G268" t="str">
        <f>"02504331204"</f>
        <v>02504331204</v>
      </c>
      <c r="I268" t="s">
        <v>446</v>
      </c>
      <c r="L268" t="s">
        <v>34</v>
      </c>
      <c r="M268">
        <v>232541.67</v>
      </c>
      <c r="N268">
        <v>199000</v>
      </c>
      <c r="P268">
        <v>33541.67</v>
      </c>
      <c r="AC268" t="s">
        <v>41</v>
      </c>
    </row>
    <row r="269" spans="1:29" ht="12.75">
      <c r="A269" t="str">
        <f>"6567390DA9"</f>
        <v>6567390DA9</v>
      </c>
      <c r="B269" t="str">
        <f>"02406911202"</f>
        <v>02406911202</v>
      </c>
      <c r="C269" t="s">
        <v>13</v>
      </c>
      <c r="D269" t="s">
        <v>30</v>
      </c>
      <c r="E269" t="s">
        <v>447</v>
      </c>
      <c r="F269" t="s">
        <v>32</v>
      </c>
      <c r="G269" t="str">
        <f>"00452440589"</f>
        <v>00452440589</v>
      </c>
      <c r="I269" t="s">
        <v>448</v>
      </c>
      <c r="L269" t="s">
        <v>34</v>
      </c>
      <c r="M269">
        <v>59500</v>
      </c>
      <c r="O269">
        <v>59500</v>
      </c>
      <c r="AC269" t="s">
        <v>41</v>
      </c>
    </row>
    <row r="270" spans="1:29" ht="12.75">
      <c r="A270" t="str">
        <f>"65674173F4"</f>
        <v>65674173F4</v>
      </c>
      <c r="B270" t="str">
        <f>"02406911202"</f>
        <v>02406911202</v>
      </c>
      <c r="C270" t="s">
        <v>13</v>
      </c>
      <c r="D270" t="s">
        <v>30</v>
      </c>
      <c r="E270" t="s">
        <v>449</v>
      </c>
      <c r="F270" t="s">
        <v>32</v>
      </c>
      <c r="G270" t="str">
        <f>"00452440589"</f>
        <v>00452440589</v>
      </c>
      <c r="I270" t="s">
        <v>448</v>
      </c>
      <c r="L270" t="s">
        <v>34</v>
      </c>
      <c r="M270">
        <v>74600</v>
      </c>
      <c r="O270">
        <v>74600</v>
      </c>
      <c r="AC270" t="s">
        <v>41</v>
      </c>
    </row>
    <row r="271" spans="1:29" ht="12.75">
      <c r="A271" t="str">
        <f>"66147318B2"</f>
        <v>66147318B2</v>
      </c>
      <c r="B271" t="str">
        <f>"02406911202"</f>
        <v>02406911202</v>
      </c>
      <c r="C271" t="s">
        <v>13</v>
      </c>
      <c r="D271" t="s">
        <v>30</v>
      </c>
      <c r="E271" t="s">
        <v>450</v>
      </c>
      <c r="F271" t="s">
        <v>32</v>
      </c>
      <c r="G271" t="str">
        <f>"00856750153"</f>
        <v>00856750153</v>
      </c>
      <c r="I271" t="s">
        <v>451</v>
      </c>
      <c r="L271" t="s">
        <v>34</v>
      </c>
      <c r="M271">
        <v>105300</v>
      </c>
      <c r="O271">
        <v>105300</v>
      </c>
      <c r="AC271" t="s">
        <v>41</v>
      </c>
    </row>
    <row r="272" spans="1:29" ht="12.75">
      <c r="A272" t="str">
        <f>"660247136E"</f>
        <v>660247136E</v>
      </c>
      <c r="B272" t="str">
        <f>"02406911202"</f>
        <v>02406911202</v>
      </c>
      <c r="C272" t="s">
        <v>13</v>
      </c>
      <c r="D272" t="s">
        <v>30</v>
      </c>
      <c r="E272" t="s">
        <v>452</v>
      </c>
      <c r="F272" t="s">
        <v>32</v>
      </c>
      <c r="G272" t="str">
        <f>"01528830225"</f>
        <v>01528830225</v>
      </c>
      <c r="I272" t="s">
        <v>453</v>
      </c>
      <c r="L272" t="s">
        <v>34</v>
      </c>
      <c r="M272">
        <v>23920</v>
      </c>
      <c r="O272">
        <v>23920</v>
      </c>
      <c r="AC272" t="s">
        <v>41</v>
      </c>
    </row>
    <row r="273" spans="1:29" ht="12.75">
      <c r="A273" t="str">
        <f>"6616172DD7"</f>
        <v>6616172DD7</v>
      </c>
      <c r="B273" t="str">
        <f>"02406911202"</f>
        <v>02406911202</v>
      </c>
      <c r="C273" t="s">
        <v>13</v>
      </c>
      <c r="D273" t="s">
        <v>30</v>
      </c>
      <c r="E273" t="s">
        <v>454</v>
      </c>
      <c r="F273" t="s">
        <v>32</v>
      </c>
      <c r="G273" t="str">
        <f>"03663160960"</f>
        <v>03663160960</v>
      </c>
      <c r="I273" t="s">
        <v>455</v>
      </c>
      <c r="L273" t="s">
        <v>34</v>
      </c>
      <c r="M273">
        <v>505295.5</v>
      </c>
      <c r="N273">
        <v>347082.75</v>
      </c>
      <c r="P273">
        <v>158212.75</v>
      </c>
      <c r="AC273" t="s">
        <v>41</v>
      </c>
    </row>
    <row r="274" spans="1:29" ht="12.75">
      <c r="A274" t="str">
        <f>"6618036014"</f>
        <v>6618036014</v>
      </c>
      <c r="B274" t="str">
        <f>"02406911202"</f>
        <v>02406911202</v>
      </c>
      <c r="C274" t="s">
        <v>13</v>
      </c>
      <c r="D274" t="s">
        <v>30</v>
      </c>
      <c r="E274" t="s">
        <v>456</v>
      </c>
      <c r="F274" t="s">
        <v>46</v>
      </c>
      <c r="G274" t="str">
        <f>"09331210154"</f>
        <v>09331210154</v>
      </c>
      <c r="I274" t="s">
        <v>457</v>
      </c>
      <c r="L274" t="s">
        <v>34</v>
      </c>
      <c r="M274">
        <v>97535.98</v>
      </c>
      <c r="N274">
        <v>45296</v>
      </c>
      <c r="O274">
        <v>20014.16</v>
      </c>
      <c r="P274">
        <v>5194</v>
      </c>
      <c r="Q274">
        <v>22950.82</v>
      </c>
      <c r="R274">
        <v>2597</v>
      </c>
      <c r="S274">
        <v>1484</v>
      </c>
      <c r="AC274" t="s">
        <v>41</v>
      </c>
    </row>
    <row r="275" spans="1:29" ht="12.75">
      <c r="A275" t="str">
        <f>"6624130500"</f>
        <v>6624130500</v>
      </c>
      <c r="B275" t="str">
        <f>"02406911202"</f>
        <v>02406911202</v>
      </c>
      <c r="C275" t="s">
        <v>13</v>
      </c>
      <c r="D275" t="s">
        <v>30</v>
      </c>
      <c r="E275" t="s">
        <v>456</v>
      </c>
      <c r="F275" t="s">
        <v>46</v>
      </c>
      <c r="G275" t="str">
        <f>"00207810284"</f>
        <v>00207810284</v>
      </c>
      <c r="I275" t="s">
        <v>458</v>
      </c>
      <c r="L275" t="s">
        <v>34</v>
      </c>
      <c r="M275">
        <v>38164</v>
      </c>
      <c r="N275">
        <v>20000</v>
      </c>
      <c r="O275">
        <v>14440</v>
      </c>
      <c r="P275">
        <v>3724</v>
      </c>
      <c r="AC275" t="s">
        <v>41</v>
      </c>
    </row>
    <row r="276" spans="1:29" ht="12.75">
      <c r="A276" t="str">
        <f>"6624141E11"</f>
        <v>6624141E11</v>
      </c>
      <c r="B276" t="str">
        <f>"02406911202"</f>
        <v>02406911202</v>
      </c>
      <c r="C276" t="s">
        <v>13</v>
      </c>
      <c r="D276" t="s">
        <v>30</v>
      </c>
      <c r="E276" t="s">
        <v>456</v>
      </c>
      <c r="F276" t="s">
        <v>46</v>
      </c>
      <c r="G276" t="str">
        <f>"09331210154"</f>
        <v>09331210154</v>
      </c>
      <c r="I276" t="s">
        <v>457</v>
      </c>
      <c r="L276" t="s">
        <v>34</v>
      </c>
      <c r="M276">
        <v>14547.5</v>
      </c>
      <c r="N276">
        <v>5000</v>
      </c>
      <c r="O276">
        <v>8550</v>
      </c>
      <c r="R276">
        <v>997.5</v>
      </c>
      <c r="AC276" t="s">
        <v>41</v>
      </c>
    </row>
    <row r="277" spans="1:29" ht="12.75">
      <c r="A277" t="str">
        <f>"6480749342"</f>
        <v>6480749342</v>
      </c>
      <c r="B277" t="str">
        <f>"02406911202"</f>
        <v>02406911202</v>
      </c>
      <c r="C277" t="s">
        <v>13</v>
      </c>
      <c r="D277" t="s">
        <v>30</v>
      </c>
      <c r="E277" t="s">
        <v>459</v>
      </c>
      <c r="F277" t="s">
        <v>32</v>
      </c>
      <c r="G277" t="str">
        <f>"00492340583"</f>
        <v>00492340583</v>
      </c>
      <c r="I277" t="s">
        <v>460</v>
      </c>
      <c r="L277" t="s">
        <v>34</v>
      </c>
      <c r="M277">
        <v>2614960</v>
      </c>
      <c r="N277">
        <v>511500</v>
      </c>
      <c r="O277">
        <v>1962410</v>
      </c>
      <c r="S277">
        <v>141050</v>
      </c>
      <c r="AC277" t="s">
        <v>41</v>
      </c>
    </row>
    <row r="278" spans="1:29" ht="12.75">
      <c r="A278" t="str">
        <f>"6620922DAA"</f>
        <v>6620922DAA</v>
      </c>
      <c r="B278" t="str">
        <f>"02406911202"</f>
        <v>02406911202</v>
      </c>
      <c r="C278" t="s">
        <v>13</v>
      </c>
      <c r="D278" t="s">
        <v>30</v>
      </c>
      <c r="E278" t="s">
        <v>461</v>
      </c>
      <c r="F278" t="s">
        <v>46</v>
      </c>
      <c r="G278" t="str">
        <f>"07435060152"</f>
        <v>07435060152</v>
      </c>
      <c r="I278" t="s">
        <v>178</v>
      </c>
      <c r="L278" t="s">
        <v>34</v>
      </c>
      <c r="M278">
        <v>42300</v>
      </c>
      <c r="N278">
        <v>28200</v>
      </c>
      <c r="O278">
        <v>14100</v>
      </c>
      <c r="AC278" t="s">
        <v>41</v>
      </c>
    </row>
    <row r="279" spans="1:29" ht="12.75">
      <c r="A279" t="str">
        <f>"6609810BC1"</f>
        <v>6609810BC1</v>
      </c>
      <c r="B279" t="str">
        <f>"02406911202"</f>
        <v>02406911202</v>
      </c>
      <c r="C279" t="s">
        <v>13</v>
      </c>
      <c r="D279" t="s">
        <v>30</v>
      </c>
      <c r="E279" t="s">
        <v>462</v>
      </c>
      <c r="F279" t="s">
        <v>32</v>
      </c>
      <c r="G279" t="str">
        <f>"11264670156"</f>
        <v>11264670156</v>
      </c>
      <c r="I279" t="s">
        <v>76</v>
      </c>
      <c r="L279" t="s">
        <v>34</v>
      </c>
      <c r="M279">
        <v>52700</v>
      </c>
      <c r="N279">
        <v>31000</v>
      </c>
      <c r="O279">
        <v>21700</v>
      </c>
      <c r="AC279" t="s">
        <v>41</v>
      </c>
    </row>
    <row r="280" spans="1:29" ht="12.75">
      <c r="A280" t="str">
        <f>"6617470CFC"</f>
        <v>6617470CFC</v>
      </c>
      <c r="B280" t="str">
        <f>"02406911202"</f>
        <v>02406911202</v>
      </c>
      <c r="C280" t="s">
        <v>13</v>
      </c>
      <c r="D280" t="s">
        <v>30</v>
      </c>
      <c r="E280" t="s">
        <v>463</v>
      </c>
      <c r="F280" t="s">
        <v>32</v>
      </c>
      <c r="G280" t="str">
        <f>"01466740501"</f>
        <v>01466740501</v>
      </c>
      <c r="I280" t="s">
        <v>464</v>
      </c>
      <c r="L280" t="s">
        <v>34</v>
      </c>
      <c r="M280">
        <v>16400</v>
      </c>
      <c r="N280">
        <v>15900</v>
      </c>
      <c r="P280">
        <v>500</v>
      </c>
      <c r="AC280" t="s">
        <v>41</v>
      </c>
    </row>
    <row r="281" spans="1:29" ht="12.75">
      <c r="A281" t="str">
        <f>"66175005C0"</f>
        <v>66175005C0</v>
      </c>
      <c r="B281" t="str">
        <f>"02406911202"</f>
        <v>02406911202</v>
      </c>
      <c r="C281" t="s">
        <v>13</v>
      </c>
      <c r="D281" t="s">
        <v>30</v>
      </c>
      <c r="E281" t="s">
        <v>463</v>
      </c>
      <c r="F281" t="s">
        <v>32</v>
      </c>
      <c r="G281" t="str">
        <f>"06522300968"</f>
        <v>06522300968</v>
      </c>
      <c r="I281" t="s">
        <v>465</v>
      </c>
      <c r="L281" t="s">
        <v>34</v>
      </c>
      <c r="M281">
        <v>850</v>
      </c>
      <c r="P281">
        <v>850</v>
      </c>
      <c r="AC281" t="s">
        <v>41</v>
      </c>
    </row>
    <row r="282" spans="1:29" ht="12.75">
      <c r="A282" t="str">
        <f>"661751307C"</f>
        <v>661751307C</v>
      </c>
      <c r="B282" t="str">
        <f>"02406911202"</f>
        <v>02406911202</v>
      </c>
      <c r="C282" t="s">
        <v>13</v>
      </c>
      <c r="D282" t="s">
        <v>30</v>
      </c>
      <c r="E282" t="s">
        <v>463</v>
      </c>
      <c r="F282" t="s">
        <v>32</v>
      </c>
      <c r="G282" t="str">
        <f>"01258691003"</f>
        <v>01258691003</v>
      </c>
      <c r="I282" t="s">
        <v>466</v>
      </c>
      <c r="L282" t="s">
        <v>34</v>
      </c>
      <c r="M282">
        <v>23419.98</v>
      </c>
      <c r="N282">
        <v>5000</v>
      </c>
      <c r="O282">
        <v>10519.98</v>
      </c>
      <c r="P282">
        <v>7900</v>
      </c>
      <c r="AC282" t="s">
        <v>41</v>
      </c>
    </row>
    <row r="283" spans="1:29" ht="12.75">
      <c r="A283" t="str">
        <f>"6618191FF8"</f>
        <v>6618191FF8</v>
      </c>
      <c r="B283" t="str">
        <f>"02406911202"</f>
        <v>02406911202</v>
      </c>
      <c r="C283" t="s">
        <v>13</v>
      </c>
      <c r="D283" t="s">
        <v>30</v>
      </c>
      <c r="E283" t="s">
        <v>463</v>
      </c>
      <c r="F283" t="s">
        <v>32</v>
      </c>
      <c r="G283" t="str">
        <f>"03157920160"</f>
        <v>03157920160</v>
      </c>
      <c r="I283" t="s">
        <v>467</v>
      </c>
      <c r="L283" t="s">
        <v>34</v>
      </c>
      <c r="M283">
        <v>246590.4</v>
      </c>
      <c r="O283">
        <v>246590.4</v>
      </c>
      <c r="AC283" t="s">
        <v>41</v>
      </c>
    </row>
    <row r="284" spans="1:29" ht="12.75">
      <c r="A284" t="str">
        <f>"661821107E"</f>
        <v>661821107E</v>
      </c>
      <c r="B284" t="str">
        <f>"02406911202"</f>
        <v>02406911202</v>
      </c>
      <c r="C284" t="s">
        <v>13</v>
      </c>
      <c r="D284" t="s">
        <v>30</v>
      </c>
      <c r="E284" t="s">
        <v>463</v>
      </c>
      <c r="F284" t="s">
        <v>32</v>
      </c>
      <c r="G284" t="str">
        <f>"07435060152"</f>
        <v>07435060152</v>
      </c>
      <c r="I284" t="s">
        <v>178</v>
      </c>
      <c r="L284" t="s">
        <v>34</v>
      </c>
      <c r="M284">
        <v>5311.8</v>
      </c>
      <c r="O284">
        <v>3811.8</v>
      </c>
      <c r="P284">
        <v>1500</v>
      </c>
      <c r="AC284" t="s">
        <v>41</v>
      </c>
    </row>
    <row r="285" spans="1:29" ht="12.75">
      <c r="A285" t="str">
        <f>"66182207E9"</f>
        <v>66182207E9</v>
      </c>
      <c r="B285" t="str">
        <f>"02406911202"</f>
        <v>02406911202</v>
      </c>
      <c r="C285" t="s">
        <v>13</v>
      </c>
      <c r="D285" t="s">
        <v>30</v>
      </c>
      <c r="E285" t="s">
        <v>463</v>
      </c>
      <c r="F285" t="s">
        <v>32</v>
      </c>
      <c r="G285" t="str">
        <f>"00556960375"</f>
        <v>00556960375</v>
      </c>
      <c r="I285" t="s">
        <v>328</v>
      </c>
      <c r="L285" t="s">
        <v>34</v>
      </c>
      <c r="M285">
        <v>305114.03</v>
      </c>
      <c r="N285">
        <v>234700</v>
      </c>
      <c r="O285">
        <v>44414.03</v>
      </c>
      <c r="P285">
        <v>26000</v>
      </c>
      <c r="AC285" t="s">
        <v>41</v>
      </c>
    </row>
    <row r="286" spans="1:29" ht="12.75">
      <c r="A286" t="str">
        <f>"66182375F1"</f>
        <v>66182375F1</v>
      </c>
      <c r="B286" t="str">
        <f>"02406911202"</f>
        <v>02406911202</v>
      </c>
      <c r="C286" t="s">
        <v>13</v>
      </c>
      <c r="D286" t="s">
        <v>30</v>
      </c>
      <c r="E286" t="s">
        <v>463</v>
      </c>
      <c r="F286" t="s">
        <v>32</v>
      </c>
      <c r="G286" t="str">
        <f>"00431030584"</f>
        <v>00431030584</v>
      </c>
      <c r="I286" t="s">
        <v>468</v>
      </c>
      <c r="L286" t="s">
        <v>34</v>
      </c>
      <c r="M286">
        <v>11796.2</v>
      </c>
      <c r="O286">
        <v>8246.2</v>
      </c>
      <c r="P286">
        <v>3550</v>
      </c>
      <c r="AC286" t="s">
        <v>41</v>
      </c>
    </row>
    <row r="287" spans="1:29" ht="12.75">
      <c r="A287" t="str">
        <f>"6618251180"</f>
        <v>6618251180</v>
      </c>
      <c r="B287" t="str">
        <f>"02406911202"</f>
        <v>02406911202</v>
      </c>
      <c r="C287" t="s">
        <v>13</v>
      </c>
      <c r="D287" t="s">
        <v>30</v>
      </c>
      <c r="E287" t="s">
        <v>463</v>
      </c>
      <c r="F287" t="s">
        <v>32</v>
      </c>
      <c r="G287" t="str">
        <f>"06037901003"</f>
        <v>06037901003</v>
      </c>
      <c r="I287" t="s">
        <v>428</v>
      </c>
      <c r="L287" t="s">
        <v>34</v>
      </c>
      <c r="M287">
        <v>750</v>
      </c>
      <c r="P287">
        <v>750</v>
      </c>
      <c r="AC287" t="s">
        <v>41</v>
      </c>
    </row>
    <row r="288" spans="1:29" ht="12.75">
      <c r="A288" t="str">
        <f>"6618264C37"</f>
        <v>6618264C37</v>
      </c>
      <c r="B288" t="str">
        <f>"02406911202"</f>
        <v>02406911202</v>
      </c>
      <c r="C288" t="s">
        <v>13</v>
      </c>
      <c r="D288" t="s">
        <v>30</v>
      </c>
      <c r="E288" t="s">
        <v>463</v>
      </c>
      <c r="F288" t="s">
        <v>32</v>
      </c>
      <c r="G288" t="str">
        <f>"00101780492"</f>
        <v>00101780492</v>
      </c>
      <c r="I288" t="s">
        <v>469</v>
      </c>
      <c r="L288" t="s">
        <v>34</v>
      </c>
      <c r="M288">
        <v>63073.81</v>
      </c>
      <c r="N288">
        <v>43800</v>
      </c>
      <c r="O288">
        <v>19273.81</v>
      </c>
      <c r="AC288" t="s">
        <v>41</v>
      </c>
    </row>
    <row r="289" spans="1:29" ht="12.75">
      <c r="A289" t="str">
        <f>"6618271201"</f>
        <v>6618271201</v>
      </c>
      <c r="B289" t="str">
        <f>"02406911202"</f>
        <v>02406911202</v>
      </c>
      <c r="C289" t="s">
        <v>13</v>
      </c>
      <c r="D289" t="s">
        <v>30</v>
      </c>
      <c r="E289" t="s">
        <v>463</v>
      </c>
      <c r="F289" t="s">
        <v>32</v>
      </c>
      <c r="G289" t="str">
        <f>"10051170156"</f>
        <v>10051170156</v>
      </c>
      <c r="I289" t="s">
        <v>470</v>
      </c>
      <c r="L289" t="s">
        <v>34</v>
      </c>
      <c r="M289">
        <v>38250</v>
      </c>
      <c r="O289">
        <v>31750</v>
      </c>
      <c r="P289">
        <v>6500</v>
      </c>
      <c r="AC289" t="s">
        <v>41</v>
      </c>
    </row>
    <row r="290" spans="1:29" ht="12.75">
      <c r="A290" t="str">
        <f>"6618279899"</f>
        <v>6618279899</v>
      </c>
      <c r="B290" t="str">
        <f>"02406911202"</f>
        <v>02406911202</v>
      </c>
      <c r="C290" t="s">
        <v>13</v>
      </c>
      <c r="D290" t="s">
        <v>30</v>
      </c>
      <c r="E290" t="s">
        <v>463</v>
      </c>
      <c r="F290" t="s">
        <v>32</v>
      </c>
      <c r="G290" t="str">
        <f>"12146481002"</f>
        <v>12146481002</v>
      </c>
      <c r="I290" t="s">
        <v>471</v>
      </c>
      <c r="L290" t="s">
        <v>34</v>
      </c>
      <c r="M290">
        <v>112767.9</v>
      </c>
      <c r="O290">
        <v>112767.9</v>
      </c>
      <c r="AC290" t="s">
        <v>41</v>
      </c>
    </row>
    <row r="291" spans="1:29" ht="12.75">
      <c r="A291" t="str">
        <f>"6618284CB8"</f>
        <v>6618284CB8</v>
      </c>
      <c r="B291" t="str">
        <f>"02406911202"</f>
        <v>02406911202</v>
      </c>
      <c r="C291" t="s">
        <v>13</v>
      </c>
      <c r="D291" t="s">
        <v>30</v>
      </c>
      <c r="E291" t="s">
        <v>463</v>
      </c>
      <c r="F291" t="s">
        <v>32</v>
      </c>
      <c r="G291" t="str">
        <f>"04754860155"</f>
        <v>04754860155</v>
      </c>
      <c r="I291" t="s">
        <v>472</v>
      </c>
      <c r="L291" t="s">
        <v>34</v>
      </c>
      <c r="M291">
        <v>21300</v>
      </c>
      <c r="N291">
        <v>500</v>
      </c>
      <c r="O291">
        <v>200</v>
      </c>
      <c r="P291">
        <v>20600</v>
      </c>
      <c r="AC291" t="s">
        <v>41</v>
      </c>
    </row>
    <row r="292" spans="1:29" ht="12.75">
      <c r="A292" t="str">
        <f>"66182966A1"</f>
        <v>66182966A1</v>
      </c>
      <c r="B292" t="str">
        <f>"02406911202"</f>
        <v>02406911202</v>
      </c>
      <c r="C292" t="s">
        <v>13</v>
      </c>
      <c r="D292" t="s">
        <v>30</v>
      </c>
      <c r="E292" t="s">
        <v>463</v>
      </c>
      <c r="F292" t="s">
        <v>32</v>
      </c>
      <c r="G292" t="str">
        <f>"00735390155"</f>
        <v>00735390155</v>
      </c>
      <c r="I292" t="s">
        <v>156</v>
      </c>
      <c r="L292" t="s">
        <v>34</v>
      </c>
      <c r="M292">
        <v>404215.95</v>
      </c>
      <c r="N292">
        <v>2400</v>
      </c>
      <c r="O292">
        <v>289615.95</v>
      </c>
      <c r="P292">
        <v>112200</v>
      </c>
      <c r="AC292" t="s">
        <v>41</v>
      </c>
    </row>
    <row r="293" spans="1:29" ht="12.75">
      <c r="A293" t="str">
        <f>"6618304D39"</f>
        <v>6618304D39</v>
      </c>
      <c r="B293" t="str">
        <f>"02406911202"</f>
        <v>02406911202</v>
      </c>
      <c r="C293" t="s">
        <v>13</v>
      </c>
      <c r="D293" t="s">
        <v>30</v>
      </c>
      <c r="E293" t="s">
        <v>463</v>
      </c>
      <c r="F293" t="s">
        <v>32</v>
      </c>
      <c r="G293" t="str">
        <f>"00674840152"</f>
        <v>00674840152</v>
      </c>
      <c r="I293" t="s">
        <v>473</v>
      </c>
      <c r="L293" t="s">
        <v>34</v>
      </c>
      <c r="M293">
        <v>5581.44</v>
      </c>
      <c r="O293">
        <v>581.44</v>
      </c>
      <c r="P293">
        <v>5000</v>
      </c>
      <c r="AC293" t="s">
        <v>41</v>
      </c>
    </row>
    <row r="294" spans="1:29" ht="12.75">
      <c r="A294" t="str">
        <f>"6618326F60"</f>
        <v>6618326F60</v>
      </c>
      <c r="B294" t="str">
        <f>"02406911202"</f>
        <v>02406911202</v>
      </c>
      <c r="C294" t="s">
        <v>13</v>
      </c>
      <c r="D294" t="s">
        <v>30</v>
      </c>
      <c r="E294" t="s">
        <v>463</v>
      </c>
      <c r="F294" t="s">
        <v>32</v>
      </c>
      <c r="G294" t="str">
        <f>"13039021004"</f>
        <v>13039021004</v>
      </c>
      <c r="I294" t="s">
        <v>333</v>
      </c>
      <c r="L294" t="s">
        <v>34</v>
      </c>
      <c r="M294">
        <v>186800</v>
      </c>
      <c r="N294">
        <v>156000</v>
      </c>
      <c r="O294">
        <v>30800</v>
      </c>
      <c r="AC294" t="s">
        <v>41</v>
      </c>
    </row>
    <row r="295" spans="1:29" ht="12.75">
      <c r="A295" t="str">
        <f>"6618332457"</f>
        <v>6618332457</v>
      </c>
      <c r="B295" t="str">
        <f>"02406911202"</f>
        <v>02406911202</v>
      </c>
      <c r="C295" t="s">
        <v>13</v>
      </c>
      <c r="D295" t="s">
        <v>30</v>
      </c>
      <c r="E295" t="s">
        <v>463</v>
      </c>
      <c r="F295" t="s">
        <v>32</v>
      </c>
      <c r="G295" t="str">
        <f>"08114080156"</f>
        <v>08114080156</v>
      </c>
      <c r="I295" t="s">
        <v>474</v>
      </c>
      <c r="L295" t="s">
        <v>34</v>
      </c>
      <c r="M295">
        <v>484681.44</v>
      </c>
      <c r="N295">
        <v>141000</v>
      </c>
      <c r="O295">
        <v>243181.44</v>
      </c>
      <c r="P295">
        <v>15500</v>
      </c>
      <c r="Q295">
        <v>85000</v>
      </c>
      <c r="AC295" t="s">
        <v>41</v>
      </c>
    </row>
    <row r="296" spans="1:29" ht="12.75">
      <c r="A296" t="str">
        <f>"6618340AEF"</f>
        <v>6618340AEF</v>
      </c>
      <c r="B296" t="str">
        <f>"02406911202"</f>
        <v>02406911202</v>
      </c>
      <c r="C296" t="s">
        <v>13</v>
      </c>
      <c r="D296" t="s">
        <v>30</v>
      </c>
      <c r="E296" t="s">
        <v>463</v>
      </c>
      <c r="F296" t="s">
        <v>32</v>
      </c>
      <c r="G296" t="str">
        <f>"05849130157"</f>
        <v>05849130157</v>
      </c>
      <c r="I296" t="s">
        <v>144</v>
      </c>
      <c r="L296" t="s">
        <v>34</v>
      </c>
      <c r="M296">
        <v>1822381.64</v>
      </c>
      <c r="N296">
        <v>617431.64</v>
      </c>
      <c r="O296">
        <v>1069100</v>
      </c>
      <c r="P296">
        <v>135850</v>
      </c>
      <c r="AC296" t="s">
        <v>41</v>
      </c>
    </row>
    <row r="297" spans="1:29" ht="12.75">
      <c r="A297" t="str">
        <f>"6618360B70"</f>
        <v>6618360B70</v>
      </c>
      <c r="B297" t="str">
        <f>"02406911202"</f>
        <v>02406911202</v>
      </c>
      <c r="C297" t="s">
        <v>13</v>
      </c>
      <c r="D297" t="s">
        <v>30</v>
      </c>
      <c r="E297" t="s">
        <v>463</v>
      </c>
      <c r="F297" t="s">
        <v>32</v>
      </c>
      <c r="G297" t="str">
        <f>"05582941000"</f>
        <v>05582941000</v>
      </c>
      <c r="I297" t="s">
        <v>475</v>
      </c>
      <c r="L297" t="s">
        <v>34</v>
      </c>
      <c r="M297">
        <v>30371.16</v>
      </c>
      <c r="N297">
        <v>17800</v>
      </c>
      <c r="O297">
        <v>8071.16</v>
      </c>
      <c r="P297">
        <v>4500</v>
      </c>
      <c r="AC297" t="s">
        <v>41</v>
      </c>
    </row>
    <row r="298" spans="1:29" ht="12.75">
      <c r="A298" t="str">
        <f>"661836820D"</f>
        <v>661836820D</v>
      </c>
      <c r="B298" t="str">
        <f>"02406911202"</f>
        <v>02406911202</v>
      </c>
      <c r="C298" t="s">
        <v>13</v>
      </c>
      <c r="D298" t="s">
        <v>30</v>
      </c>
      <c r="E298" t="s">
        <v>463</v>
      </c>
      <c r="F298" t="s">
        <v>32</v>
      </c>
      <c r="G298" t="str">
        <f>"01679130060"</f>
        <v>01679130060</v>
      </c>
      <c r="I298" t="s">
        <v>476</v>
      </c>
      <c r="L298" t="s">
        <v>34</v>
      </c>
      <c r="M298">
        <v>46479</v>
      </c>
      <c r="N298">
        <v>39900</v>
      </c>
      <c r="O298">
        <v>4029</v>
      </c>
      <c r="P298">
        <v>2550</v>
      </c>
      <c r="AC298" t="s">
        <v>41</v>
      </c>
    </row>
    <row r="299" spans="1:29" ht="12.75">
      <c r="A299" t="str">
        <f>"66183757D2"</f>
        <v>66183757D2</v>
      </c>
      <c r="B299" t="str">
        <f>"02406911202"</f>
        <v>02406911202</v>
      </c>
      <c r="C299" t="s">
        <v>13</v>
      </c>
      <c r="D299" t="s">
        <v>30</v>
      </c>
      <c r="E299" t="s">
        <v>463</v>
      </c>
      <c r="F299" t="s">
        <v>32</v>
      </c>
      <c r="G299" t="str">
        <f>"00807290150"</f>
        <v>00807290150</v>
      </c>
      <c r="I299" t="s">
        <v>477</v>
      </c>
      <c r="L299" t="s">
        <v>34</v>
      </c>
      <c r="M299">
        <v>357694.15</v>
      </c>
      <c r="N299">
        <v>22000</v>
      </c>
      <c r="O299">
        <v>329694.15</v>
      </c>
      <c r="P299">
        <v>6000</v>
      </c>
      <c r="AC299" t="s">
        <v>41</v>
      </c>
    </row>
    <row r="300" spans="1:29" ht="12.75">
      <c r="A300" t="str">
        <f>"6618381CC4"</f>
        <v>6618381CC4</v>
      </c>
      <c r="B300" t="str">
        <f>"02406911202"</f>
        <v>02406911202</v>
      </c>
      <c r="C300" t="s">
        <v>13</v>
      </c>
      <c r="D300" t="s">
        <v>30</v>
      </c>
      <c r="E300" t="s">
        <v>463</v>
      </c>
      <c r="F300" t="s">
        <v>32</v>
      </c>
      <c r="G300" t="str">
        <f>"02789580590"</f>
        <v>02789580590</v>
      </c>
      <c r="I300" t="s">
        <v>478</v>
      </c>
      <c r="L300" t="s">
        <v>34</v>
      </c>
      <c r="M300">
        <v>4759.13</v>
      </c>
      <c r="N300">
        <v>3200</v>
      </c>
      <c r="O300">
        <v>459.13</v>
      </c>
      <c r="P300">
        <v>1100</v>
      </c>
      <c r="AC300" t="s">
        <v>41</v>
      </c>
    </row>
    <row r="301" spans="1:29" ht="12.75">
      <c r="A301" t="str">
        <f>"66183871BB"</f>
        <v>66183871BB</v>
      </c>
      <c r="B301" t="str">
        <f>"02406911202"</f>
        <v>02406911202</v>
      </c>
      <c r="C301" t="s">
        <v>13</v>
      </c>
      <c r="D301" t="s">
        <v>30</v>
      </c>
      <c r="E301" t="s">
        <v>463</v>
      </c>
      <c r="F301" t="s">
        <v>32</v>
      </c>
      <c r="G301" t="str">
        <f>"06042600962"</f>
        <v>06042600962</v>
      </c>
      <c r="I301" t="s">
        <v>479</v>
      </c>
      <c r="L301" t="s">
        <v>34</v>
      </c>
      <c r="M301">
        <v>1332.28</v>
      </c>
      <c r="O301">
        <v>232.28</v>
      </c>
      <c r="P301">
        <v>1100</v>
      </c>
      <c r="AC301" t="s">
        <v>41</v>
      </c>
    </row>
    <row r="302" spans="1:29" ht="12.75">
      <c r="A302" t="str">
        <f>"6618399B9F"</f>
        <v>6618399B9F</v>
      </c>
      <c r="B302" t="str">
        <f>"02406911202"</f>
        <v>02406911202</v>
      </c>
      <c r="C302" t="s">
        <v>13</v>
      </c>
      <c r="D302" t="s">
        <v>30</v>
      </c>
      <c r="E302" t="s">
        <v>463</v>
      </c>
      <c r="F302" t="s">
        <v>32</v>
      </c>
      <c r="G302" t="str">
        <f>"00421210485"</f>
        <v>00421210485</v>
      </c>
      <c r="I302" t="s">
        <v>147</v>
      </c>
      <c r="L302" t="s">
        <v>34</v>
      </c>
      <c r="M302">
        <v>50054.9</v>
      </c>
      <c r="O302">
        <v>12304.9</v>
      </c>
      <c r="P302">
        <v>37750</v>
      </c>
      <c r="AC302" t="s">
        <v>41</v>
      </c>
    </row>
    <row r="303" spans="1:29" ht="12.75">
      <c r="A303" t="str">
        <f>"66184093E2"</f>
        <v>66184093E2</v>
      </c>
      <c r="B303" t="str">
        <f>"02406911202"</f>
        <v>02406911202</v>
      </c>
      <c r="C303" t="s">
        <v>13</v>
      </c>
      <c r="D303" t="s">
        <v>30</v>
      </c>
      <c r="E303" t="s">
        <v>463</v>
      </c>
      <c r="F303" t="s">
        <v>32</v>
      </c>
      <c r="G303" t="str">
        <f>"05501420961"</f>
        <v>05501420961</v>
      </c>
      <c r="I303" t="s">
        <v>480</v>
      </c>
      <c r="L303" t="s">
        <v>34</v>
      </c>
      <c r="M303">
        <v>50695.3</v>
      </c>
      <c r="N303">
        <v>49000</v>
      </c>
      <c r="O303">
        <v>1445.3</v>
      </c>
      <c r="P303">
        <v>250</v>
      </c>
      <c r="AC303" t="s">
        <v>41</v>
      </c>
    </row>
    <row r="304" spans="1:29" ht="12.75">
      <c r="A304" t="str">
        <f>"6618414801"</f>
        <v>6618414801</v>
      </c>
      <c r="B304" t="str">
        <f>"02406911202"</f>
        <v>02406911202</v>
      </c>
      <c r="C304" t="s">
        <v>13</v>
      </c>
      <c r="D304" t="s">
        <v>30</v>
      </c>
      <c r="E304" t="s">
        <v>463</v>
      </c>
      <c r="F304" t="s">
        <v>32</v>
      </c>
      <c r="G304" t="str">
        <f>"00082130592"</f>
        <v>00082130592</v>
      </c>
      <c r="I304" t="s">
        <v>284</v>
      </c>
      <c r="L304" t="s">
        <v>34</v>
      </c>
      <c r="M304">
        <v>106857.4</v>
      </c>
      <c r="O304">
        <v>272.4</v>
      </c>
      <c r="P304">
        <v>106585</v>
      </c>
      <c r="AC304" t="s">
        <v>41</v>
      </c>
    </row>
    <row r="305" spans="1:29" ht="12.75">
      <c r="A305" t="str">
        <f>"66184261EA"</f>
        <v>66184261EA</v>
      </c>
      <c r="B305" t="str">
        <f>"02406911202"</f>
        <v>02406911202</v>
      </c>
      <c r="C305" t="s">
        <v>13</v>
      </c>
      <c r="D305" t="s">
        <v>30</v>
      </c>
      <c r="E305" t="s">
        <v>463</v>
      </c>
      <c r="F305" t="s">
        <v>32</v>
      </c>
      <c r="G305" t="str">
        <f>"05038691001"</f>
        <v>05038691001</v>
      </c>
      <c r="I305" t="s">
        <v>149</v>
      </c>
      <c r="L305" t="s">
        <v>34</v>
      </c>
      <c r="M305">
        <v>1017.2</v>
      </c>
      <c r="O305">
        <v>517.2</v>
      </c>
      <c r="P305">
        <v>500</v>
      </c>
      <c r="AC305" t="s">
        <v>41</v>
      </c>
    </row>
    <row r="306" spans="1:29" ht="12.75">
      <c r="A306" t="str">
        <f>"6618430536"</f>
        <v>6618430536</v>
      </c>
      <c r="B306" t="str">
        <f>"02406911202"</f>
        <v>02406911202</v>
      </c>
      <c r="C306" t="s">
        <v>13</v>
      </c>
      <c r="D306" t="s">
        <v>30</v>
      </c>
      <c r="E306" t="s">
        <v>463</v>
      </c>
      <c r="F306" t="s">
        <v>32</v>
      </c>
      <c r="G306" t="str">
        <f>"04947170967"</f>
        <v>04947170967</v>
      </c>
      <c r="I306" t="s">
        <v>481</v>
      </c>
      <c r="L306" t="s">
        <v>34</v>
      </c>
      <c r="M306">
        <v>160497.81</v>
      </c>
      <c r="O306">
        <v>160497.81</v>
      </c>
      <c r="AC306" t="s">
        <v>41</v>
      </c>
    </row>
    <row r="307" spans="1:29" ht="12.75">
      <c r="A307" t="str">
        <f>"6618441E47"</f>
        <v>6618441E47</v>
      </c>
      <c r="B307" t="str">
        <f>"02406911202"</f>
        <v>02406911202</v>
      </c>
      <c r="C307" t="s">
        <v>13</v>
      </c>
      <c r="D307" t="s">
        <v>30</v>
      </c>
      <c r="E307" t="s">
        <v>463</v>
      </c>
      <c r="F307" t="s">
        <v>32</v>
      </c>
      <c r="G307" t="str">
        <f>"01513360345"</f>
        <v>01513360345</v>
      </c>
      <c r="I307" t="s">
        <v>482</v>
      </c>
      <c r="L307" t="s">
        <v>34</v>
      </c>
      <c r="M307">
        <v>194400.52</v>
      </c>
      <c r="N307">
        <v>165100</v>
      </c>
      <c r="O307">
        <v>29300.52</v>
      </c>
      <c r="AC307" t="s">
        <v>41</v>
      </c>
    </row>
    <row r="308" spans="1:29" ht="12.75">
      <c r="A308" t="str">
        <f>"66184505B7"</f>
        <v>66184505B7</v>
      </c>
      <c r="B308" t="str">
        <f>"02406911202"</f>
        <v>02406911202</v>
      </c>
      <c r="C308" t="s">
        <v>13</v>
      </c>
      <c r="D308" t="s">
        <v>30</v>
      </c>
      <c r="E308" t="s">
        <v>463</v>
      </c>
      <c r="F308" t="s">
        <v>32</v>
      </c>
      <c r="H308" t="str">
        <f>"DE142WW- GB"</f>
        <v>DE142WW- GB</v>
      </c>
      <c r="I308" t="s">
        <v>483</v>
      </c>
      <c r="L308" t="s">
        <v>34</v>
      </c>
      <c r="M308">
        <v>24888.4</v>
      </c>
      <c r="O308">
        <v>24888.4</v>
      </c>
      <c r="AC308" t="s">
        <v>41</v>
      </c>
    </row>
    <row r="309" spans="1:29" ht="12.75">
      <c r="A309" t="str">
        <f>"66186846D1"</f>
        <v>66186846D1</v>
      </c>
      <c r="B309" t="str">
        <f>"02406911202"</f>
        <v>02406911202</v>
      </c>
      <c r="C309" t="s">
        <v>13</v>
      </c>
      <c r="D309" t="s">
        <v>30</v>
      </c>
      <c r="E309" t="s">
        <v>463</v>
      </c>
      <c r="F309" t="s">
        <v>32</v>
      </c>
      <c r="G309" t="str">
        <f>"00741180152"</f>
        <v>00741180152</v>
      </c>
      <c r="I309" t="s">
        <v>484</v>
      </c>
      <c r="L309" t="s">
        <v>34</v>
      </c>
      <c r="M309">
        <v>275865.06</v>
      </c>
      <c r="N309">
        <v>224000</v>
      </c>
      <c r="O309">
        <v>45115.06</v>
      </c>
      <c r="P309">
        <v>6750</v>
      </c>
      <c r="AC309" t="s">
        <v>41</v>
      </c>
    </row>
    <row r="310" spans="1:29" ht="12.75">
      <c r="A310" t="str">
        <f>"6618699333"</f>
        <v>6618699333</v>
      </c>
      <c r="B310" t="str">
        <f>"02406911202"</f>
        <v>02406911202</v>
      </c>
      <c r="C310" t="s">
        <v>13</v>
      </c>
      <c r="D310" t="s">
        <v>30</v>
      </c>
      <c r="E310" t="s">
        <v>463</v>
      </c>
      <c r="F310" t="s">
        <v>32</v>
      </c>
      <c r="G310" t="str">
        <f>"02642020156"</f>
        <v>02642020156</v>
      </c>
      <c r="I310" t="s">
        <v>485</v>
      </c>
      <c r="L310" t="s">
        <v>34</v>
      </c>
      <c r="M310">
        <v>731247.5</v>
      </c>
      <c r="N310">
        <v>340000</v>
      </c>
      <c r="O310">
        <v>364997.5</v>
      </c>
      <c r="P310">
        <v>26250</v>
      </c>
      <c r="AC310" t="s">
        <v>41</v>
      </c>
    </row>
    <row r="311" spans="1:29" ht="12.75">
      <c r="A311" t="str">
        <f>"6618709B71"</f>
        <v>6618709B71</v>
      </c>
      <c r="B311" t="str">
        <f>"02406911202"</f>
        <v>02406911202</v>
      </c>
      <c r="C311" t="s">
        <v>13</v>
      </c>
      <c r="D311" t="s">
        <v>30</v>
      </c>
      <c r="E311" t="s">
        <v>463</v>
      </c>
      <c r="F311" t="s">
        <v>32</v>
      </c>
      <c r="G311" t="str">
        <f>"04494061007"</f>
        <v>04494061007</v>
      </c>
      <c r="I311" t="s">
        <v>486</v>
      </c>
      <c r="L311" t="s">
        <v>34</v>
      </c>
      <c r="M311">
        <v>3243.24</v>
      </c>
      <c r="O311">
        <v>2043.24</v>
      </c>
      <c r="P311">
        <v>1200</v>
      </c>
      <c r="AC311" t="s">
        <v>41</v>
      </c>
    </row>
    <row r="312" spans="1:29" ht="12.75">
      <c r="A312" t="str">
        <f>"6618712DEA"</f>
        <v>6618712DEA</v>
      </c>
      <c r="B312" t="str">
        <f>"02406911202"</f>
        <v>02406911202</v>
      </c>
      <c r="C312" t="s">
        <v>13</v>
      </c>
      <c r="D312" t="s">
        <v>30</v>
      </c>
      <c r="E312" t="s">
        <v>463</v>
      </c>
      <c r="F312" t="s">
        <v>32</v>
      </c>
      <c r="G312" t="str">
        <f>"02629330131"</f>
        <v>02629330131</v>
      </c>
      <c r="I312" t="s">
        <v>487</v>
      </c>
      <c r="L312" t="s">
        <v>34</v>
      </c>
      <c r="M312">
        <v>500</v>
      </c>
      <c r="P312">
        <v>500</v>
      </c>
      <c r="AC312" t="s">
        <v>41</v>
      </c>
    </row>
    <row r="313" spans="1:29" ht="12.75">
      <c r="A313" t="str">
        <f>"661872155A"</f>
        <v>661872155A</v>
      </c>
      <c r="B313" t="str">
        <f>"02406911202"</f>
        <v>02406911202</v>
      </c>
      <c r="C313" t="s">
        <v>13</v>
      </c>
      <c r="D313" t="s">
        <v>30</v>
      </c>
      <c r="E313" t="s">
        <v>463</v>
      </c>
      <c r="F313" t="s">
        <v>32</v>
      </c>
      <c r="G313" t="str">
        <f>"11845960159"</f>
        <v>11845960159</v>
      </c>
      <c r="I313" t="s">
        <v>488</v>
      </c>
      <c r="L313" t="s">
        <v>34</v>
      </c>
      <c r="M313">
        <v>5745.6</v>
      </c>
      <c r="O313">
        <v>245.6</v>
      </c>
      <c r="P313">
        <v>5500</v>
      </c>
      <c r="AC313" t="s">
        <v>41</v>
      </c>
    </row>
    <row r="314" spans="1:29" ht="12.75">
      <c r="A314" t="str">
        <f>"6618727A4C"</f>
        <v>6618727A4C</v>
      </c>
      <c r="B314" t="str">
        <f>"02406911202"</f>
        <v>02406911202</v>
      </c>
      <c r="C314" t="s">
        <v>13</v>
      </c>
      <c r="D314" t="s">
        <v>30</v>
      </c>
      <c r="E314" t="s">
        <v>463</v>
      </c>
      <c r="F314" t="s">
        <v>32</v>
      </c>
      <c r="G314" t="str">
        <f>"00791570153"</f>
        <v>00791570153</v>
      </c>
      <c r="I314" t="s">
        <v>489</v>
      </c>
      <c r="L314" t="s">
        <v>34</v>
      </c>
      <c r="M314">
        <v>13149</v>
      </c>
      <c r="O314">
        <v>13149</v>
      </c>
      <c r="AC314" t="s">
        <v>41</v>
      </c>
    </row>
    <row r="315" spans="1:29" ht="12.75">
      <c r="A315" t="str">
        <f>"66187350E9"</f>
        <v>66187350E9</v>
      </c>
      <c r="B315" t="str">
        <f>"02406911202"</f>
        <v>02406911202</v>
      </c>
      <c r="C315" t="s">
        <v>13</v>
      </c>
      <c r="D315" t="s">
        <v>30</v>
      </c>
      <c r="E315" t="s">
        <v>463</v>
      </c>
      <c r="F315" t="s">
        <v>32</v>
      </c>
      <c r="G315" t="str">
        <f>"12432150154"</f>
        <v>12432150154</v>
      </c>
      <c r="I315" t="s">
        <v>490</v>
      </c>
      <c r="L315" t="s">
        <v>34</v>
      </c>
      <c r="M315">
        <v>1200</v>
      </c>
      <c r="N315">
        <v>1200</v>
      </c>
      <c r="AC315" t="s">
        <v>41</v>
      </c>
    </row>
    <row r="316" spans="1:29" ht="12.75">
      <c r="A316" t="str">
        <f>"6618744854"</f>
        <v>6618744854</v>
      </c>
      <c r="B316" t="str">
        <f>"02406911202"</f>
        <v>02406911202</v>
      </c>
      <c r="C316" t="s">
        <v>13</v>
      </c>
      <c r="D316" t="s">
        <v>30</v>
      </c>
      <c r="E316" t="s">
        <v>463</v>
      </c>
      <c r="F316" t="s">
        <v>32</v>
      </c>
      <c r="G316" t="str">
        <f>"04732240967"</f>
        <v>04732240967</v>
      </c>
      <c r="I316" t="s">
        <v>491</v>
      </c>
      <c r="L316" t="s">
        <v>34</v>
      </c>
      <c r="M316">
        <v>31100</v>
      </c>
      <c r="N316">
        <v>31100</v>
      </c>
      <c r="AC316" t="s">
        <v>41</v>
      </c>
    </row>
    <row r="317" spans="1:29" ht="12.75">
      <c r="A317" t="str">
        <f>"6618754097"</f>
        <v>6618754097</v>
      </c>
      <c r="B317" t="str">
        <f>"02406911202"</f>
        <v>02406911202</v>
      </c>
      <c r="C317" t="s">
        <v>13</v>
      </c>
      <c r="D317" t="s">
        <v>30</v>
      </c>
      <c r="E317" t="s">
        <v>463</v>
      </c>
      <c r="F317" t="s">
        <v>32</v>
      </c>
      <c r="G317" t="str">
        <f>"00426150488"</f>
        <v>00426150488</v>
      </c>
      <c r="I317" t="s">
        <v>161</v>
      </c>
      <c r="L317" t="s">
        <v>34</v>
      </c>
      <c r="M317">
        <v>494700.76</v>
      </c>
      <c r="N317">
        <v>354600</v>
      </c>
      <c r="O317">
        <v>38950.76</v>
      </c>
      <c r="P317">
        <v>101150</v>
      </c>
      <c r="AC317" t="s">
        <v>41</v>
      </c>
    </row>
    <row r="318" spans="1:29" ht="12.75">
      <c r="A318" t="str">
        <f>"661876272F"</f>
        <v>661876272F</v>
      </c>
      <c r="B318" t="str">
        <f>"02406911202"</f>
        <v>02406911202</v>
      </c>
      <c r="C318" t="s">
        <v>13</v>
      </c>
      <c r="D318" t="s">
        <v>30</v>
      </c>
      <c r="E318" t="s">
        <v>463</v>
      </c>
      <c r="F318" t="s">
        <v>32</v>
      </c>
      <c r="G318" t="str">
        <f>"03698030289"</f>
        <v>03698030289</v>
      </c>
      <c r="I318" t="s">
        <v>492</v>
      </c>
      <c r="L318" t="s">
        <v>34</v>
      </c>
      <c r="M318">
        <v>100</v>
      </c>
      <c r="N318">
        <v>100</v>
      </c>
      <c r="AC318" t="s">
        <v>41</v>
      </c>
    </row>
    <row r="319" spans="1:29" ht="12.75">
      <c r="A319" t="str">
        <f>"6618771E9A"</f>
        <v>6618771E9A</v>
      </c>
      <c r="B319" t="str">
        <f>"02406911202"</f>
        <v>02406911202</v>
      </c>
      <c r="C319" t="s">
        <v>13</v>
      </c>
      <c r="D319" t="s">
        <v>30</v>
      </c>
      <c r="E319" t="s">
        <v>463</v>
      </c>
      <c r="F319" t="s">
        <v>32</v>
      </c>
      <c r="G319" t="str">
        <f>"03617810878"</f>
        <v>03617810878</v>
      </c>
      <c r="I319" t="s">
        <v>493</v>
      </c>
      <c r="L319" t="s">
        <v>34</v>
      </c>
      <c r="M319">
        <v>235</v>
      </c>
      <c r="N319">
        <v>235</v>
      </c>
      <c r="AC319" t="s">
        <v>41</v>
      </c>
    </row>
    <row r="320" spans="1:29" ht="12.75">
      <c r="A320" t="str">
        <f>"6618779537"</f>
        <v>6618779537</v>
      </c>
      <c r="B320" t="str">
        <f>"02406911202"</f>
        <v>02406911202</v>
      </c>
      <c r="C320" t="s">
        <v>13</v>
      </c>
      <c r="D320" t="s">
        <v>30</v>
      </c>
      <c r="E320" t="s">
        <v>463</v>
      </c>
      <c r="F320" t="s">
        <v>32</v>
      </c>
      <c r="G320" t="str">
        <f>"07676940153"</f>
        <v>07676940153</v>
      </c>
      <c r="I320" t="s">
        <v>494</v>
      </c>
      <c r="L320" t="s">
        <v>34</v>
      </c>
      <c r="M320">
        <v>20898.74</v>
      </c>
      <c r="N320">
        <v>1600</v>
      </c>
      <c r="O320">
        <v>3198.74</v>
      </c>
      <c r="P320">
        <v>16100</v>
      </c>
      <c r="AC320" t="s">
        <v>41</v>
      </c>
    </row>
    <row r="321" spans="1:29" ht="12.75">
      <c r="A321" t="str">
        <f>"6618791F1B"</f>
        <v>6618791F1B</v>
      </c>
      <c r="B321" t="str">
        <f>"02406911202"</f>
        <v>02406911202</v>
      </c>
      <c r="C321" t="s">
        <v>13</v>
      </c>
      <c r="D321" t="s">
        <v>30</v>
      </c>
      <c r="E321" t="s">
        <v>463</v>
      </c>
      <c r="F321" t="s">
        <v>32</v>
      </c>
      <c r="G321" t="str">
        <f>"00204260285"</f>
        <v>00204260285</v>
      </c>
      <c r="I321" t="s">
        <v>495</v>
      </c>
      <c r="L321" t="s">
        <v>34</v>
      </c>
      <c r="M321">
        <v>88469.23</v>
      </c>
      <c r="N321">
        <v>52800</v>
      </c>
      <c r="O321">
        <v>25269.23</v>
      </c>
      <c r="P321">
        <v>10400</v>
      </c>
      <c r="AC321" t="s">
        <v>41</v>
      </c>
    </row>
    <row r="322" spans="1:29" ht="12.75">
      <c r="A322" t="str">
        <f>"6618805AAA"</f>
        <v>6618805AAA</v>
      </c>
      <c r="B322" t="str">
        <f>"02406911202"</f>
        <v>02406911202</v>
      </c>
      <c r="C322" t="s">
        <v>13</v>
      </c>
      <c r="D322" t="s">
        <v>30</v>
      </c>
      <c r="E322" t="s">
        <v>463</v>
      </c>
      <c r="F322" t="s">
        <v>32</v>
      </c>
      <c r="G322" t="str">
        <f>"02580140651"</f>
        <v>02580140651</v>
      </c>
      <c r="I322" t="s">
        <v>496</v>
      </c>
      <c r="L322" t="s">
        <v>34</v>
      </c>
      <c r="M322">
        <v>1801</v>
      </c>
      <c r="O322">
        <v>1801</v>
      </c>
      <c r="AC322" t="s">
        <v>41</v>
      </c>
    </row>
    <row r="323" spans="1:29" ht="12.75">
      <c r="A323" t="str">
        <f>"66188152ED"</f>
        <v>66188152ED</v>
      </c>
      <c r="B323" t="str">
        <f>"02406911202"</f>
        <v>02406911202</v>
      </c>
      <c r="C323" t="s">
        <v>13</v>
      </c>
      <c r="D323" t="s">
        <v>30</v>
      </c>
      <c r="E323" t="s">
        <v>463</v>
      </c>
      <c r="F323" t="s">
        <v>32</v>
      </c>
      <c r="G323" t="str">
        <f>"00227080231"</f>
        <v>00227080231</v>
      </c>
      <c r="I323" t="s">
        <v>497</v>
      </c>
      <c r="L323" t="s">
        <v>34</v>
      </c>
      <c r="M323">
        <v>471290.21</v>
      </c>
      <c r="N323">
        <v>195000</v>
      </c>
      <c r="O323">
        <v>262990.21</v>
      </c>
      <c r="P323">
        <v>13300</v>
      </c>
      <c r="AC323" t="s">
        <v>41</v>
      </c>
    </row>
    <row r="324" spans="1:29" ht="12.75">
      <c r="A324" t="str">
        <f>"6618824A58"</f>
        <v>6618824A58</v>
      </c>
      <c r="B324" t="str">
        <f>"02406911202"</f>
        <v>02406911202</v>
      </c>
      <c r="C324" t="s">
        <v>13</v>
      </c>
      <c r="D324" t="s">
        <v>30</v>
      </c>
      <c r="E324" t="s">
        <v>463</v>
      </c>
      <c r="F324" t="s">
        <v>32</v>
      </c>
      <c r="G324" t="str">
        <f>"11187430159"</f>
        <v>11187430159</v>
      </c>
      <c r="I324" t="s">
        <v>152</v>
      </c>
      <c r="L324" t="s">
        <v>34</v>
      </c>
      <c r="M324">
        <v>151000</v>
      </c>
      <c r="O324">
        <v>151000</v>
      </c>
      <c r="AC324" t="s">
        <v>41</v>
      </c>
    </row>
    <row r="325" spans="1:29" ht="12.75">
      <c r="A325" t="str">
        <f>"66188331C8"</f>
        <v>66188331C8</v>
      </c>
      <c r="B325" t="str">
        <f>"02406911202"</f>
        <v>02406911202</v>
      </c>
      <c r="C325" t="s">
        <v>13</v>
      </c>
      <c r="D325" t="s">
        <v>30</v>
      </c>
      <c r="E325" t="s">
        <v>463</v>
      </c>
      <c r="F325" t="s">
        <v>32</v>
      </c>
      <c r="G325" t="str">
        <f>"00867200156"</f>
        <v>00867200156</v>
      </c>
      <c r="I325" t="s">
        <v>498</v>
      </c>
      <c r="L325" t="s">
        <v>34</v>
      </c>
      <c r="M325">
        <v>70537</v>
      </c>
      <c r="O325">
        <v>537</v>
      </c>
      <c r="P325">
        <v>70000</v>
      </c>
      <c r="AC325" t="s">
        <v>41</v>
      </c>
    </row>
    <row r="326" spans="1:29" ht="12.75">
      <c r="A326" t="str">
        <f>"6618841860"</f>
        <v>6618841860</v>
      </c>
      <c r="B326" t="str">
        <f>"02406911202"</f>
        <v>02406911202</v>
      </c>
      <c r="C326" t="s">
        <v>13</v>
      </c>
      <c r="D326" t="s">
        <v>30</v>
      </c>
      <c r="E326" t="s">
        <v>463</v>
      </c>
      <c r="F326" t="s">
        <v>32</v>
      </c>
      <c r="G326" t="str">
        <f>"00212840235"</f>
        <v>00212840235</v>
      </c>
      <c r="I326" t="s">
        <v>151</v>
      </c>
      <c r="L326" t="s">
        <v>34</v>
      </c>
      <c r="M326">
        <v>350281.33</v>
      </c>
      <c r="N326">
        <v>347500</v>
      </c>
      <c r="O326">
        <v>2781.33</v>
      </c>
      <c r="AC326" t="s">
        <v>41</v>
      </c>
    </row>
    <row r="327" spans="1:29" ht="12.75">
      <c r="A327" t="str">
        <f>"6618847D52"</f>
        <v>6618847D52</v>
      </c>
      <c r="B327" t="str">
        <f>"02406911202"</f>
        <v>02406911202</v>
      </c>
      <c r="C327" t="s">
        <v>13</v>
      </c>
      <c r="D327" t="s">
        <v>30</v>
      </c>
      <c r="E327" t="s">
        <v>463</v>
      </c>
      <c r="F327" t="s">
        <v>32</v>
      </c>
      <c r="G327" t="str">
        <f>"02767640135"</f>
        <v>02767640135</v>
      </c>
      <c r="I327" t="s">
        <v>499</v>
      </c>
      <c r="L327" t="s">
        <v>34</v>
      </c>
      <c r="M327">
        <v>3000</v>
      </c>
      <c r="N327">
        <v>3000</v>
      </c>
      <c r="AC327" t="s">
        <v>41</v>
      </c>
    </row>
    <row r="328" spans="1:29" ht="12.75">
      <c r="A328" t="str">
        <f>"6618857595"</f>
        <v>6618857595</v>
      </c>
      <c r="B328" t="str">
        <f>"02406911202"</f>
        <v>02406911202</v>
      </c>
      <c r="C328" t="s">
        <v>13</v>
      </c>
      <c r="D328" t="s">
        <v>30</v>
      </c>
      <c r="E328" t="s">
        <v>463</v>
      </c>
      <c r="F328" t="s">
        <v>32</v>
      </c>
      <c r="G328" t="str">
        <f>"10852890150"</f>
        <v>10852890150</v>
      </c>
      <c r="I328" t="s">
        <v>500</v>
      </c>
      <c r="L328" t="s">
        <v>34</v>
      </c>
      <c r="M328">
        <v>739496</v>
      </c>
      <c r="N328">
        <v>157000</v>
      </c>
      <c r="O328">
        <v>578496</v>
      </c>
      <c r="P328">
        <v>4000</v>
      </c>
      <c r="AC328" t="s">
        <v>41</v>
      </c>
    </row>
    <row r="329" spans="1:29" ht="12.75">
      <c r="A329" t="str">
        <f>"66188629B4"</f>
        <v>66188629B4</v>
      </c>
      <c r="B329" t="str">
        <f>"02406911202"</f>
        <v>02406911202</v>
      </c>
      <c r="C329" t="s">
        <v>13</v>
      </c>
      <c r="D329" t="s">
        <v>30</v>
      </c>
      <c r="E329" t="s">
        <v>463</v>
      </c>
      <c r="F329" t="s">
        <v>32</v>
      </c>
      <c r="G329" t="str">
        <f>"04485620159"</f>
        <v>04485620159</v>
      </c>
      <c r="I329" t="s">
        <v>501</v>
      </c>
      <c r="L329" t="s">
        <v>34</v>
      </c>
      <c r="M329">
        <v>3701.5</v>
      </c>
      <c r="N329">
        <v>200</v>
      </c>
      <c r="O329">
        <v>901.5</v>
      </c>
      <c r="P329">
        <v>2600</v>
      </c>
      <c r="AC329" t="s">
        <v>41</v>
      </c>
    </row>
    <row r="330" spans="1:29" ht="12.75">
      <c r="A330" t="str">
        <f>"66188732CA"</f>
        <v>66188732CA</v>
      </c>
      <c r="B330" t="str">
        <f>"02406911202"</f>
        <v>02406911202</v>
      </c>
      <c r="C330" t="s">
        <v>13</v>
      </c>
      <c r="D330" t="s">
        <v>30</v>
      </c>
      <c r="E330" t="s">
        <v>463</v>
      </c>
      <c r="F330" t="s">
        <v>32</v>
      </c>
      <c r="G330" t="str">
        <f>"06811780961"</f>
        <v>06811780961</v>
      </c>
      <c r="I330" t="s">
        <v>502</v>
      </c>
      <c r="L330" t="s">
        <v>34</v>
      </c>
      <c r="M330">
        <v>110400</v>
      </c>
      <c r="N330">
        <v>110400</v>
      </c>
      <c r="AC330" t="s">
        <v>41</v>
      </c>
    </row>
    <row r="331" spans="1:29" ht="12.75">
      <c r="A331" t="str">
        <f>"66188965C4"</f>
        <v>66188965C4</v>
      </c>
      <c r="B331" t="str">
        <f>"02406911202"</f>
        <v>02406911202</v>
      </c>
      <c r="C331" t="s">
        <v>13</v>
      </c>
      <c r="D331" t="s">
        <v>30</v>
      </c>
      <c r="E331" t="s">
        <v>463</v>
      </c>
      <c r="F331" t="s">
        <v>32</v>
      </c>
      <c r="G331" t="str">
        <f>"01620460186"</f>
        <v>01620460186</v>
      </c>
      <c r="I331" t="s">
        <v>503</v>
      </c>
      <c r="L331" t="s">
        <v>34</v>
      </c>
      <c r="M331">
        <v>22782.8</v>
      </c>
      <c r="N331">
        <v>19400</v>
      </c>
      <c r="O331">
        <v>732.8</v>
      </c>
      <c r="P331">
        <v>2650</v>
      </c>
      <c r="AC331" t="s">
        <v>41</v>
      </c>
    </row>
    <row r="332" spans="1:29" ht="12.75">
      <c r="A332" t="str">
        <f>"6618907ED5"</f>
        <v>6618907ED5</v>
      </c>
      <c r="B332" t="str">
        <f>"02406911202"</f>
        <v>02406911202</v>
      </c>
      <c r="C332" t="s">
        <v>13</v>
      </c>
      <c r="D332" t="s">
        <v>30</v>
      </c>
      <c r="E332" t="s">
        <v>463</v>
      </c>
      <c r="F332" t="s">
        <v>32</v>
      </c>
      <c r="G332" t="str">
        <f>"02292260599"</f>
        <v>02292260599</v>
      </c>
      <c r="I332" t="s">
        <v>504</v>
      </c>
      <c r="L332" t="s">
        <v>34</v>
      </c>
      <c r="M332">
        <v>98747.37</v>
      </c>
      <c r="N332">
        <v>5000</v>
      </c>
      <c r="O332">
        <v>42247.37</v>
      </c>
      <c r="P332">
        <v>50000</v>
      </c>
      <c r="Q332">
        <v>1500</v>
      </c>
      <c r="AC332" t="s">
        <v>41</v>
      </c>
    </row>
    <row r="333" spans="1:29" ht="12.75">
      <c r="A333" t="str">
        <f>"6618929101"</f>
        <v>6618929101</v>
      </c>
      <c r="B333" t="str">
        <f>"02406911202"</f>
        <v>02406911202</v>
      </c>
      <c r="C333" t="s">
        <v>13</v>
      </c>
      <c r="D333" t="s">
        <v>30</v>
      </c>
      <c r="E333" t="s">
        <v>463</v>
      </c>
      <c r="F333" t="s">
        <v>32</v>
      </c>
      <c r="G333" t="str">
        <f>"02380550596"</f>
        <v>02380550596</v>
      </c>
      <c r="I333" t="s">
        <v>505</v>
      </c>
      <c r="L333" t="s">
        <v>34</v>
      </c>
      <c r="M333">
        <v>18361.35</v>
      </c>
      <c r="N333">
        <v>13800</v>
      </c>
      <c r="O333">
        <v>1861.35</v>
      </c>
      <c r="P333">
        <v>2700</v>
      </c>
      <c r="AC333" t="s">
        <v>41</v>
      </c>
    </row>
    <row r="334" spans="1:29" ht="12.75">
      <c r="A334" t="str">
        <f>"661893993F"</f>
        <v>661893993F</v>
      </c>
      <c r="B334" t="str">
        <f>"02406911202"</f>
        <v>02406911202</v>
      </c>
      <c r="C334" t="s">
        <v>13</v>
      </c>
      <c r="D334" t="s">
        <v>30</v>
      </c>
      <c r="E334" t="s">
        <v>463</v>
      </c>
      <c r="F334" t="s">
        <v>32</v>
      </c>
      <c r="G334" t="str">
        <f>"10616310156"</f>
        <v>10616310156</v>
      </c>
      <c r="I334" t="s">
        <v>506</v>
      </c>
      <c r="L334" t="s">
        <v>34</v>
      </c>
      <c r="M334">
        <v>1504.38</v>
      </c>
      <c r="O334">
        <v>1004.38</v>
      </c>
      <c r="P334">
        <v>500</v>
      </c>
      <c r="AC334" t="s">
        <v>41</v>
      </c>
    </row>
    <row r="335" spans="1:29" ht="12.75">
      <c r="A335" t="str">
        <f>"66189534CE"</f>
        <v>66189534CE</v>
      </c>
      <c r="B335" t="str">
        <f>"02406911202"</f>
        <v>02406911202</v>
      </c>
      <c r="C335" t="s">
        <v>13</v>
      </c>
      <c r="D335" t="s">
        <v>30</v>
      </c>
      <c r="E335" t="s">
        <v>463</v>
      </c>
      <c r="F335" t="s">
        <v>32</v>
      </c>
      <c r="H335" t="str">
        <f>"GB700513982"</f>
        <v>GB700513982</v>
      </c>
      <c r="I335" t="s">
        <v>507</v>
      </c>
      <c r="L335" t="s">
        <v>34</v>
      </c>
      <c r="M335">
        <v>68160</v>
      </c>
      <c r="O335">
        <v>68160</v>
      </c>
      <c r="AC335" t="s">
        <v>41</v>
      </c>
    </row>
    <row r="336" spans="1:29" ht="12.75">
      <c r="A336" t="str">
        <f>"6618963D0C"</f>
        <v>6618963D0C</v>
      </c>
      <c r="B336" t="str">
        <f>"02406911202"</f>
        <v>02406911202</v>
      </c>
      <c r="C336" t="s">
        <v>13</v>
      </c>
      <c r="D336" t="s">
        <v>30</v>
      </c>
      <c r="E336" t="s">
        <v>463</v>
      </c>
      <c r="F336" t="s">
        <v>32</v>
      </c>
      <c r="G336" t="str">
        <f>"02387941202"</f>
        <v>02387941202</v>
      </c>
      <c r="I336" t="s">
        <v>508</v>
      </c>
      <c r="L336" t="s">
        <v>34</v>
      </c>
      <c r="M336">
        <v>5275.4</v>
      </c>
      <c r="O336">
        <v>275.4</v>
      </c>
      <c r="P336">
        <v>5000</v>
      </c>
      <c r="AC336" t="s">
        <v>41</v>
      </c>
    </row>
    <row r="337" spans="1:29" ht="12.75">
      <c r="A337" t="str">
        <f>"66189702D6"</f>
        <v>66189702D6</v>
      </c>
      <c r="B337" t="str">
        <f>"02406911202"</f>
        <v>02406911202</v>
      </c>
      <c r="C337" t="s">
        <v>13</v>
      </c>
      <c r="D337" t="s">
        <v>30</v>
      </c>
      <c r="E337" t="s">
        <v>463</v>
      </c>
      <c r="F337" t="s">
        <v>32</v>
      </c>
      <c r="G337" t="str">
        <f>"90032460322"</f>
        <v>90032460322</v>
      </c>
      <c r="I337" t="s">
        <v>509</v>
      </c>
      <c r="L337" t="s">
        <v>34</v>
      </c>
      <c r="M337">
        <v>142.2</v>
      </c>
      <c r="O337">
        <v>142.2</v>
      </c>
      <c r="AC337" t="s">
        <v>41</v>
      </c>
    </row>
    <row r="338" spans="1:29" ht="12.75">
      <c r="A338" t="str">
        <f>"661897789B"</f>
        <v>661897789B</v>
      </c>
      <c r="B338" t="str">
        <f>"02406911202"</f>
        <v>02406911202</v>
      </c>
      <c r="C338" t="s">
        <v>13</v>
      </c>
      <c r="D338" t="s">
        <v>30</v>
      </c>
      <c r="E338" t="s">
        <v>463</v>
      </c>
      <c r="F338" t="s">
        <v>32</v>
      </c>
      <c r="G338" t="str">
        <f>"07161740159"</f>
        <v>07161740159</v>
      </c>
      <c r="I338" t="s">
        <v>166</v>
      </c>
      <c r="L338" t="s">
        <v>34</v>
      </c>
      <c r="M338">
        <v>32492.2</v>
      </c>
      <c r="O338">
        <v>142.2</v>
      </c>
      <c r="P338">
        <v>32350</v>
      </c>
      <c r="AC338" t="s">
        <v>41</v>
      </c>
    </row>
    <row r="339" spans="1:29" ht="12.75">
      <c r="A339" t="str">
        <f>"661899791C"</f>
        <v>661899791C</v>
      </c>
      <c r="B339" t="str">
        <f>"02406911202"</f>
        <v>02406911202</v>
      </c>
      <c r="C339" t="s">
        <v>13</v>
      </c>
      <c r="D339" t="s">
        <v>30</v>
      </c>
      <c r="E339" t="s">
        <v>463</v>
      </c>
      <c r="F339" t="s">
        <v>32</v>
      </c>
      <c r="G339" t="str">
        <f>"11902030151"</f>
        <v>11902030151</v>
      </c>
      <c r="I339" t="s">
        <v>510</v>
      </c>
      <c r="L339" t="s">
        <v>34</v>
      </c>
      <c r="M339">
        <v>1200</v>
      </c>
      <c r="N339">
        <v>700</v>
      </c>
      <c r="P339">
        <v>500</v>
      </c>
      <c r="AC339" t="s">
        <v>41</v>
      </c>
    </row>
    <row r="340" spans="1:29" ht="12.75">
      <c r="A340" t="str">
        <f>"6619048334"</f>
        <v>6619048334</v>
      </c>
      <c r="B340" t="str">
        <f>"02406911202"</f>
        <v>02406911202</v>
      </c>
      <c r="C340" t="s">
        <v>13</v>
      </c>
      <c r="D340" t="s">
        <v>30</v>
      </c>
      <c r="E340" t="s">
        <v>463</v>
      </c>
      <c r="F340" t="s">
        <v>32</v>
      </c>
      <c r="G340" t="str">
        <f>"00737420158"</f>
        <v>00737420158</v>
      </c>
      <c r="I340" t="s">
        <v>511</v>
      </c>
      <c r="L340" t="s">
        <v>34</v>
      </c>
      <c r="M340">
        <v>110880.06</v>
      </c>
      <c r="N340">
        <v>80600</v>
      </c>
      <c r="O340">
        <v>12280.06</v>
      </c>
      <c r="P340">
        <v>18000</v>
      </c>
      <c r="AC340" t="s">
        <v>41</v>
      </c>
    </row>
    <row r="341" spans="1:29" ht="12.75">
      <c r="A341" t="str">
        <f>"6619082F3F"</f>
        <v>6619082F3F</v>
      </c>
      <c r="B341" t="str">
        <f>"02406911202"</f>
        <v>02406911202</v>
      </c>
      <c r="C341" t="s">
        <v>13</v>
      </c>
      <c r="D341" t="s">
        <v>30</v>
      </c>
      <c r="E341" t="s">
        <v>463</v>
      </c>
      <c r="F341" t="s">
        <v>32</v>
      </c>
      <c r="G341" t="str">
        <f>"00962280590"</f>
        <v>00962280590</v>
      </c>
      <c r="I341" t="s">
        <v>153</v>
      </c>
      <c r="L341" t="s">
        <v>34</v>
      </c>
      <c r="M341">
        <v>933472.17</v>
      </c>
      <c r="N341">
        <v>716400</v>
      </c>
      <c r="O341">
        <v>272.17</v>
      </c>
      <c r="P341">
        <v>216800</v>
      </c>
      <c r="AC341" t="s">
        <v>41</v>
      </c>
    </row>
    <row r="342" spans="1:29" ht="12.75">
      <c r="A342" t="str">
        <f>"6619096ACE"</f>
        <v>6619096ACE</v>
      </c>
      <c r="B342" t="str">
        <f>"02406911202"</f>
        <v>02406911202</v>
      </c>
      <c r="C342" t="s">
        <v>13</v>
      </c>
      <c r="D342" t="s">
        <v>30</v>
      </c>
      <c r="E342" t="s">
        <v>463</v>
      </c>
      <c r="F342" t="s">
        <v>32</v>
      </c>
      <c r="G342" t="str">
        <f>"10158651009"</f>
        <v>10158651009</v>
      </c>
      <c r="I342" t="s">
        <v>512</v>
      </c>
      <c r="L342" t="s">
        <v>34</v>
      </c>
      <c r="M342">
        <v>8900</v>
      </c>
      <c r="N342">
        <v>8900</v>
      </c>
      <c r="AC342" t="s">
        <v>41</v>
      </c>
    </row>
    <row r="343" spans="1:29" ht="12.75">
      <c r="A343" t="str">
        <f>"66191073E4"</f>
        <v>66191073E4</v>
      </c>
      <c r="B343" t="str">
        <f>"02406911202"</f>
        <v>02406911202</v>
      </c>
      <c r="C343" t="s">
        <v>13</v>
      </c>
      <c r="D343" t="s">
        <v>30</v>
      </c>
      <c r="E343" t="s">
        <v>463</v>
      </c>
      <c r="F343" t="s">
        <v>32</v>
      </c>
      <c r="G343" t="str">
        <f>"01779530466"</f>
        <v>01779530466</v>
      </c>
      <c r="I343" t="s">
        <v>513</v>
      </c>
      <c r="L343" t="s">
        <v>34</v>
      </c>
      <c r="M343">
        <v>81270.62</v>
      </c>
      <c r="N343">
        <v>56000</v>
      </c>
      <c r="O343">
        <v>19970.62</v>
      </c>
      <c r="P343">
        <v>5300</v>
      </c>
      <c r="AC343" t="s">
        <v>41</v>
      </c>
    </row>
    <row r="344" spans="1:29" ht="12.75">
      <c r="A344" t="str">
        <f>"6619115A7C"</f>
        <v>6619115A7C</v>
      </c>
      <c r="B344" t="str">
        <f>"02406911202"</f>
        <v>02406911202</v>
      </c>
      <c r="C344" t="s">
        <v>13</v>
      </c>
      <c r="D344" t="s">
        <v>30</v>
      </c>
      <c r="E344" t="s">
        <v>463</v>
      </c>
      <c r="F344" t="s">
        <v>32</v>
      </c>
      <c r="G344" t="str">
        <f>"07587340964"</f>
        <v>07587340964</v>
      </c>
      <c r="I344" t="s">
        <v>514</v>
      </c>
      <c r="L344" t="s">
        <v>34</v>
      </c>
      <c r="M344">
        <v>850</v>
      </c>
      <c r="P344">
        <v>850</v>
      </c>
      <c r="AC344" t="s">
        <v>41</v>
      </c>
    </row>
    <row r="345" spans="1:29" ht="12.75">
      <c r="A345" t="str">
        <f>"6619139E49"</f>
        <v>6619139E49</v>
      </c>
      <c r="B345" t="str">
        <f>"02406911202"</f>
        <v>02406911202</v>
      </c>
      <c r="C345" t="s">
        <v>13</v>
      </c>
      <c r="D345" t="s">
        <v>30</v>
      </c>
      <c r="E345" t="s">
        <v>463</v>
      </c>
      <c r="F345" t="s">
        <v>32</v>
      </c>
      <c r="G345" t="str">
        <f>"01286700487"</f>
        <v>01286700487</v>
      </c>
      <c r="I345" t="s">
        <v>515</v>
      </c>
      <c r="L345" t="s">
        <v>34</v>
      </c>
      <c r="M345">
        <v>92865.43</v>
      </c>
      <c r="N345">
        <v>61800</v>
      </c>
      <c r="O345">
        <v>27565.43</v>
      </c>
      <c r="P345">
        <v>3500</v>
      </c>
      <c r="AC345" t="s">
        <v>41</v>
      </c>
    </row>
    <row r="346" spans="1:29" ht="12.75">
      <c r="A346" t="str">
        <f>"66191474E6"</f>
        <v>66191474E6</v>
      </c>
      <c r="B346" t="str">
        <f>"02406911202"</f>
        <v>02406911202</v>
      </c>
      <c r="C346" t="s">
        <v>13</v>
      </c>
      <c r="D346" t="s">
        <v>30</v>
      </c>
      <c r="E346" t="s">
        <v>463</v>
      </c>
      <c r="F346" t="s">
        <v>32</v>
      </c>
      <c r="G346" t="str">
        <f>"00108790502"</f>
        <v>00108790502</v>
      </c>
      <c r="I346" t="s">
        <v>516</v>
      </c>
      <c r="L346" t="s">
        <v>34</v>
      </c>
      <c r="M346">
        <v>2500</v>
      </c>
      <c r="N346">
        <v>2500</v>
      </c>
      <c r="AC346" t="s">
        <v>41</v>
      </c>
    </row>
    <row r="347" spans="1:29" ht="12.75">
      <c r="A347" t="str">
        <f>"661918329C"</f>
        <v>661918329C</v>
      </c>
      <c r="B347" t="str">
        <f>"02406911202"</f>
        <v>02406911202</v>
      </c>
      <c r="C347" t="s">
        <v>13</v>
      </c>
      <c r="D347" t="s">
        <v>30</v>
      </c>
      <c r="E347" t="s">
        <v>463</v>
      </c>
      <c r="F347" t="s">
        <v>32</v>
      </c>
      <c r="G347" t="str">
        <f>"01108720598"</f>
        <v>01108720598</v>
      </c>
      <c r="I347" t="s">
        <v>517</v>
      </c>
      <c r="L347" t="s">
        <v>34</v>
      </c>
      <c r="M347">
        <v>10300</v>
      </c>
      <c r="N347">
        <v>10300</v>
      </c>
      <c r="AC347" t="s">
        <v>41</v>
      </c>
    </row>
    <row r="348" spans="1:29" ht="12.75">
      <c r="A348" t="str">
        <f>"661920331D"</f>
        <v>661920331D</v>
      </c>
      <c r="B348" t="str">
        <f>"02406911202"</f>
        <v>02406911202</v>
      </c>
      <c r="C348" t="s">
        <v>13</v>
      </c>
      <c r="D348" t="s">
        <v>30</v>
      </c>
      <c r="E348" t="s">
        <v>463</v>
      </c>
      <c r="F348" t="s">
        <v>32</v>
      </c>
      <c r="G348" t="str">
        <f>"11271521004"</f>
        <v>11271521004</v>
      </c>
      <c r="I348" t="s">
        <v>518</v>
      </c>
      <c r="L348" t="s">
        <v>34</v>
      </c>
      <c r="M348">
        <v>47607.05</v>
      </c>
      <c r="N348">
        <v>37400</v>
      </c>
      <c r="O348">
        <v>10207.05</v>
      </c>
      <c r="AC348" t="s">
        <v>41</v>
      </c>
    </row>
    <row r="349" spans="1:29" ht="12.75">
      <c r="A349" t="str">
        <f>"6619217EA7"</f>
        <v>6619217EA7</v>
      </c>
      <c r="B349" t="str">
        <f>"02406911202"</f>
        <v>02406911202</v>
      </c>
      <c r="C349" t="s">
        <v>13</v>
      </c>
      <c r="D349" t="s">
        <v>30</v>
      </c>
      <c r="E349" t="s">
        <v>463</v>
      </c>
      <c r="F349" t="s">
        <v>32</v>
      </c>
      <c r="G349" t="str">
        <f>"09734150155"</f>
        <v>09734150155</v>
      </c>
      <c r="I349" t="s">
        <v>519</v>
      </c>
      <c r="L349" t="s">
        <v>34</v>
      </c>
      <c r="M349">
        <v>5980.48</v>
      </c>
      <c r="O349">
        <v>5980.48</v>
      </c>
      <c r="AC349" t="s">
        <v>41</v>
      </c>
    </row>
    <row r="350" spans="1:29" ht="12.75">
      <c r="A350" t="str">
        <f>"6619232B09"</f>
        <v>6619232B09</v>
      </c>
      <c r="B350" t="str">
        <f>"02406911202"</f>
        <v>02406911202</v>
      </c>
      <c r="C350" t="s">
        <v>13</v>
      </c>
      <c r="D350" t="s">
        <v>30</v>
      </c>
      <c r="E350" t="s">
        <v>463</v>
      </c>
      <c r="F350" t="s">
        <v>32</v>
      </c>
      <c r="H350" t="str">
        <f>"FR76514974153"</f>
        <v>FR76514974153</v>
      </c>
      <c r="I350" t="s">
        <v>520</v>
      </c>
      <c r="L350" t="s">
        <v>34</v>
      </c>
      <c r="M350">
        <v>14800</v>
      </c>
      <c r="N350">
        <v>14800</v>
      </c>
      <c r="AC350" t="s">
        <v>41</v>
      </c>
    </row>
    <row r="351" spans="1:29" ht="12.75">
      <c r="A351" t="str">
        <f>"6619254D30"</f>
        <v>6619254D30</v>
      </c>
      <c r="B351" t="str">
        <f>"02406911202"</f>
        <v>02406911202</v>
      </c>
      <c r="C351" t="s">
        <v>13</v>
      </c>
      <c r="D351" t="s">
        <v>30</v>
      </c>
      <c r="E351" t="s">
        <v>463</v>
      </c>
      <c r="F351" t="s">
        <v>32</v>
      </c>
      <c r="G351" t="str">
        <f>"11008200153"</f>
        <v>11008200153</v>
      </c>
      <c r="I351" t="s">
        <v>521</v>
      </c>
      <c r="L351" t="s">
        <v>34</v>
      </c>
      <c r="M351">
        <v>28559.85</v>
      </c>
      <c r="N351">
        <v>1400</v>
      </c>
      <c r="O351">
        <v>659.85</v>
      </c>
      <c r="P351">
        <v>26500</v>
      </c>
      <c r="AC351" t="s">
        <v>41</v>
      </c>
    </row>
    <row r="352" spans="1:29" ht="12.75">
      <c r="A352" t="str">
        <f>"6619741F12"</f>
        <v>6619741F12</v>
      </c>
      <c r="B352" t="str">
        <f>"02406911202"</f>
        <v>02406911202</v>
      </c>
      <c r="C352" t="s">
        <v>13</v>
      </c>
      <c r="D352" t="s">
        <v>30</v>
      </c>
      <c r="E352" t="s">
        <v>463</v>
      </c>
      <c r="F352" t="s">
        <v>32</v>
      </c>
      <c r="G352" t="str">
        <f>"00846530152"</f>
        <v>00846530152</v>
      </c>
      <c r="I352" t="s">
        <v>522</v>
      </c>
      <c r="L352" t="s">
        <v>34</v>
      </c>
      <c r="M352">
        <v>26069.56</v>
      </c>
      <c r="N352">
        <v>4700</v>
      </c>
      <c r="O352">
        <v>15219.56</v>
      </c>
      <c r="P352">
        <v>6150</v>
      </c>
      <c r="AC352" t="s">
        <v>41</v>
      </c>
    </row>
    <row r="353" spans="1:29" ht="12.75">
      <c r="A353" t="str">
        <f>"66197430BD"</f>
        <v>66197430BD</v>
      </c>
      <c r="B353" t="str">
        <f>"02406911202"</f>
        <v>02406911202</v>
      </c>
      <c r="C353" t="s">
        <v>13</v>
      </c>
      <c r="D353" t="s">
        <v>30</v>
      </c>
      <c r="E353" t="s">
        <v>463</v>
      </c>
      <c r="F353" t="s">
        <v>32</v>
      </c>
      <c r="G353" t="str">
        <f>"01689550158"</f>
        <v>01689550158</v>
      </c>
      <c r="I353" t="s">
        <v>523</v>
      </c>
      <c r="L353" t="s">
        <v>34</v>
      </c>
      <c r="M353">
        <v>3262</v>
      </c>
      <c r="O353">
        <v>1512</v>
      </c>
      <c r="P353">
        <v>1750</v>
      </c>
      <c r="AC353" t="s">
        <v>41</v>
      </c>
    </row>
    <row r="354" spans="1:29" ht="12.75">
      <c r="A354" t="str">
        <f>"66197484DC"</f>
        <v>66197484DC</v>
      </c>
      <c r="B354" t="str">
        <f>"02406911202"</f>
        <v>02406911202</v>
      </c>
      <c r="C354" t="s">
        <v>13</v>
      </c>
      <c r="D354" t="s">
        <v>30</v>
      </c>
      <c r="E354" t="s">
        <v>463</v>
      </c>
      <c r="F354" t="s">
        <v>32</v>
      </c>
      <c r="G354" t="str">
        <f>"00399800580"</f>
        <v>00399800580</v>
      </c>
      <c r="I354" t="s">
        <v>524</v>
      </c>
      <c r="L354" t="s">
        <v>34</v>
      </c>
      <c r="M354">
        <v>241400</v>
      </c>
      <c r="N354">
        <v>116200</v>
      </c>
      <c r="P354">
        <v>125200</v>
      </c>
      <c r="AC354" t="s">
        <v>41</v>
      </c>
    </row>
    <row r="355" spans="1:29" ht="12.75">
      <c r="A355" t="str">
        <f>"6619752828"</f>
        <v>6619752828</v>
      </c>
      <c r="B355" t="str">
        <f>"02406911202"</f>
        <v>02406911202</v>
      </c>
      <c r="C355" t="s">
        <v>13</v>
      </c>
      <c r="D355" t="s">
        <v>30</v>
      </c>
      <c r="E355" t="s">
        <v>463</v>
      </c>
      <c r="F355" t="s">
        <v>32</v>
      </c>
      <c r="G355" t="str">
        <f>"00228550273"</f>
        <v>00228550273</v>
      </c>
      <c r="I355" t="s">
        <v>525</v>
      </c>
      <c r="L355" t="s">
        <v>34</v>
      </c>
      <c r="M355">
        <v>12079.22</v>
      </c>
      <c r="N355">
        <v>3200</v>
      </c>
      <c r="O355">
        <v>6579.22</v>
      </c>
      <c r="P355">
        <v>2300</v>
      </c>
      <c r="AC355" t="s">
        <v>41</v>
      </c>
    </row>
    <row r="356" spans="1:29" ht="12.75">
      <c r="A356" t="str">
        <f>"6619759DED"</f>
        <v>6619759DED</v>
      </c>
      <c r="B356" t="str">
        <f>"02406911202"</f>
        <v>02406911202</v>
      </c>
      <c r="C356" t="s">
        <v>13</v>
      </c>
      <c r="D356" t="s">
        <v>30</v>
      </c>
      <c r="E356" t="s">
        <v>463</v>
      </c>
      <c r="F356" t="s">
        <v>32</v>
      </c>
      <c r="G356" t="str">
        <f>"00422760587"</f>
        <v>00422760587</v>
      </c>
      <c r="I356" t="s">
        <v>282</v>
      </c>
      <c r="L356" t="s">
        <v>34</v>
      </c>
      <c r="M356">
        <v>424596.1</v>
      </c>
      <c r="N356">
        <v>328200</v>
      </c>
      <c r="O356">
        <v>48396.1</v>
      </c>
      <c r="P356">
        <v>48000</v>
      </c>
      <c r="AC356" t="s">
        <v>41</v>
      </c>
    </row>
    <row r="357" spans="1:29" ht="12.75">
      <c r="A357" t="str">
        <f>"6619764211"</f>
        <v>6619764211</v>
      </c>
      <c r="B357" t="str">
        <f>"02406911202"</f>
        <v>02406911202</v>
      </c>
      <c r="C357" t="s">
        <v>13</v>
      </c>
      <c r="D357" t="s">
        <v>30</v>
      </c>
      <c r="E357" t="s">
        <v>463</v>
      </c>
      <c r="F357" t="s">
        <v>32</v>
      </c>
      <c r="G357" t="str">
        <f>"03859880969"</f>
        <v>03859880969</v>
      </c>
      <c r="I357" t="s">
        <v>335</v>
      </c>
      <c r="L357" t="s">
        <v>34</v>
      </c>
      <c r="M357">
        <v>93441.29</v>
      </c>
      <c r="N357">
        <v>80700</v>
      </c>
      <c r="O357">
        <v>12741.29</v>
      </c>
      <c r="AC357" t="s">
        <v>41</v>
      </c>
    </row>
    <row r="358" spans="1:29" ht="12.75">
      <c r="A358" t="str">
        <f>"661977397C"</f>
        <v>661977397C</v>
      </c>
      <c r="B358" t="str">
        <f>"02406911202"</f>
        <v>02406911202</v>
      </c>
      <c r="C358" t="s">
        <v>13</v>
      </c>
      <c r="D358" t="s">
        <v>30</v>
      </c>
      <c r="E358" t="s">
        <v>463</v>
      </c>
      <c r="F358" t="s">
        <v>32</v>
      </c>
      <c r="G358" t="str">
        <f>"13179250157"</f>
        <v>13179250157</v>
      </c>
      <c r="I358" t="s">
        <v>526</v>
      </c>
      <c r="L358" t="s">
        <v>34</v>
      </c>
      <c r="M358">
        <v>44189.78</v>
      </c>
      <c r="N358">
        <v>6700</v>
      </c>
      <c r="O358">
        <v>28889.78</v>
      </c>
      <c r="P358">
        <v>8600</v>
      </c>
      <c r="AC358" t="s">
        <v>41</v>
      </c>
    </row>
    <row r="359" spans="1:29" ht="12.75">
      <c r="A359" t="str">
        <f>"6619777CC8"</f>
        <v>6619777CC8</v>
      </c>
      <c r="B359" t="str">
        <f>"02406911202"</f>
        <v>02406911202</v>
      </c>
      <c r="C359" t="s">
        <v>13</v>
      </c>
      <c r="D359" t="s">
        <v>30</v>
      </c>
      <c r="E359" t="s">
        <v>463</v>
      </c>
      <c r="F359" t="s">
        <v>32</v>
      </c>
      <c r="G359" t="str">
        <f>"06647900965"</f>
        <v>06647900965</v>
      </c>
      <c r="I359" t="s">
        <v>527</v>
      </c>
      <c r="L359" t="s">
        <v>34</v>
      </c>
      <c r="M359">
        <v>600</v>
      </c>
      <c r="N359">
        <v>600</v>
      </c>
      <c r="AC359" t="s">
        <v>41</v>
      </c>
    </row>
    <row r="360" spans="1:29" ht="12.75">
      <c r="A360" t="str">
        <f>"6619781019"</f>
        <v>6619781019</v>
      </c>
      <c r="B360" t="str">
        <f>"02406911202"</f>
        <v>02406911202</v>
      </c>
      <c r="C360" t="s">
        <v>13</v>
      </c>
      <c r="D360" t="s">
        <v>30</v>
      </c>
      <c r="E360" t="s">
        <v>463</v>
      </c>
      <c r="F360" t="s">
        <v>32</v>
      </c>
      <c r="G360" t="str">
        <f>"04981280631"</f>
        <v>04981280631</v>
      </c>
      <c r="I360" t="s">
        <v>528</v>
      </c>
      <c r="L360" t="s">
        <v>34</v>
      </c>
      <c r="M360">
        <v>1117.8</v>
      </c>
      <c r="O360">
        <v>1117.8</v>
      </c>
      <c r="AC360" t="s">
        <v>41</v>
      </c>
    </row>
    <row r="361" spans="1:29" ht="12.75">
      <c r="A361" t="str">
        <f>"6619785365"</f>
        <v>6619785365</v>
      </c>
      <c r="B361" t="str">
        <f>"02406911202"</f>
        <v>02406911202</v>
      </c>
      <c r="C361" t="s">
        <v>13</v>
      </c>
      <c r="D361" t="s">
        <v>30</v>
      </c>
      <c r="E361" t="s">
        <v>463</v>
      </c>
      <c r="F361" t="s">
        <v>32</v>
      </c>
      <c r="G361" t="str">
        <f>"11116290153"</f>
        <v>11116290153</v>
      </c>
      <c r="I361" t="s">
        <v>278</v>
      </c>
      <c r="L361" t="s">
        <v>34</v>
      </c>
      <c r="M361">
        <v>3000</v>
      </c>
      <c r="N361">
        <v>2500</v>
      </c>
      <c r="P361">
        <v>500</v>
      </c>
      <c r="AC361" t="s">
        <v>41</v>
      </c>
    </row>
    <row r="362" spans="1:29" ht="12.75">
      <c r="A362" t="str">
        <f>"6619791857"</f>
        <v>6619791857</v>
      </c>
      <c r="B362" t="str">
        <f>"02406911202"</f>
        <v>02406911202</v>
      </c>
      <c r="C362" t="s">
        <v>13</v>
      </c>
      <c r="D362" t="s">
        <v>30</v>
      </c>
      <c r="E362" t="s">
        <v>463</v>
      </c>
      <c r="F362" t="s">
        <v>32</v>
      </c>
      <c r="G362" t="str">
        <f>"00687350124"</f>
        <v>00687350124</v>
      </c>
      <c r="I362" t="s">
        <v>529</v>
      </c>
      <c r="L362" t="s">
        <v>34</v>
      </c>
      <c r="M362">
        <v>4700</v>
      </c>
      <c r="P362">
        <v>4700</v>
      </c>
      <c r="AC362" t="s">
        <v>41</v>
      </c>
    </row>
    <row r="363" spans="1:29" ht="12.75">
      <c r="A363" t="str">
        <f>"6619795BA3"</f>
        <v>6619795BA3</v>
      </c>
      <c r="B363" t="str">
        <f>"02406911202"</f>
        <v>02406911202</v>
      </c>
      <c r="C363" t="s">
        <v>13</v>
      </c>
      <c r="D363" t="s">
        <v>30</v>
      </c>
      <c r="E363" t="s">
        <v>463</v>
      </c>
      <c r="F363" t="s">
        <v>32</v>
      </c>
      <c r="G363" t="str">
        <f>"07195130153"</f>
        <v>07195130153</v>
      </c>
      <c r="I363" t="s">
        <v>154</v>
      </c>
      <c r="L363" t="s">
        <v>34</v>
      </c>
      <c r="M363">
        <v>330699.83</v>
      </c>
      <c r="N363">
        <v>40600</v>
      </c>
      <c r="O363">
        <v>20099.83</v>
      </c>
      <c r="P363">
        <v>270000</v>
      </c>
      <c r="AC363" t="s">
        <v>41</v>
      </c>
    </row>
    <row r="364" spans="1:29" ht="12.75">
      <c r="A364" t="str">
        <f>"6619800FC2"</f>
        <v>6619800FC2</v>
      </c>
      <c r="B364" t="str">
        <f>"02406911202"</f>
        <v>02406911202</v>
      </c>
      <c r="C364" t="s">
        <v>13</v>
      </c>
      <c r="D364" t="s">
        <v>30</v>
      </c>
      <c r="E364" t="s">
        <v>463</v>
      </c>
      <c r="F364" t="s">
        <v>32</v>
      </c>
      <c r="G364" t="str">
        <f>"03918040589"</f>
        <v>03918040589</v>
      </c>
      <c r="I364" t="s">
        <v>158</v>
      </c>
      <c r="L364" t="s">
        <v>34</v>
      </c>
      <c r="M364">
        <v>52457.07</v>
      </c>
      <c r="N364">
        <v>1300</v>
      </c>
      <c r="O364">
        <v>34607.07</v>
      </c>
      <c r="P364">
        <v>16550</v>
      </c>
      <c r="AC364" t="s">
        <v>41</v>
      </c>
    </row>
    <row r="365" spans="1:29" ht="12.75">
      <c r="A365" t="str">
        <f>"6619857ECC"</f>
        <v>6619857ECC</v>
      </c>
      <c r="B365" t="str">
        <f>"02406911202"</f>
        <v>02406911202</v>
      </c>
      <c r="C365" t="s">
        <v>13</v>
      </c>
      <c r="D365" t="s">
        <v>30</v>
      </c>
      <c r="E365" t="s">
        <v>463</v>
      </c>
      <c r="F365" t="s">
        <v>32</v>
      </c>
      <c r="G365" t="str">
        <f>"07346721009"</f>
        <v>07346721009</v>
      </c>
      <c r="I365" t="s">
        <v>530</v>
      </c>
      <c r="L365" t="s">
        <v>34</v>
      </c>
      <c r="M365">
        <v>1750</v>
      </c>
      <c r="P365">
        <v>1750</v>
      </c>
      <c r="AC365" t="s">
        <v>41</v>
      </c>
    </row>
    <row r="366" spans="1:29" ht="12.75">
      <c r="A366" t="str">
        <f>"661986121D"</f>
        <v>661986121D</v>
      </c>
      <c r="B366" t="str">
        <f>"02406911202"</f>
        <v>02406911202</v>
      </c>
      <c r="C366" t="s">
        <v>13</v>
      </c>
      <c r="D366" t="s">
        <v>30</v>
      </c>
      <c r="E366" t="s">
        <v>463</v>
      </c>
      <c r="F366" t="s">
        <v>32</v>
      </c>
      <c r="G366" t="str">
        <f>"04192740969"</f>
        <v>04192740969</v>
      </c>
      <c r="I366" t="s">
        <v>531</v>
      </c>
      <c r="L366" t="s">
        <v>34</v>
      </c>
      <c r="M366">
        <v>38400</v>
      </c>
      <c r="N366">
        <v>38400</v>
      </c>
      <c r="AC366" t="s">
        <v>41</v>
      </c>
    </row>
    <row r="367" spans="1:29" ht="12.75">
      <c r="A367" t="str">
        <f>"6619865569"</f>
        <v>6619865569</v>
      </c>
      <c r="B367" t="str">
        <f>"02406911202"</f>
        <v>02406911202</v>
      </c>
      <c r="C367" t="s">
        <v>13</v>
      </c>
      <c r="D367" t="s">
        <v>30</v>
      </c>
      <c r="E367" t="s">
        <v>463</v>
      </c>
      <c r="F367" t="s">
        <v>32</v>
      </c>
      <c r="G367" t="str">
        <f>"05941670969"</f>
        <v>05941670969</v>
      </c>
      <c r="I367" t="s">
        <v>532</v>
      </c>
      <c r="L367" t="s">
        <v>34</v>
      </c>
      <c r="M367">
        <v>300</v>
      </c>
      <c r="N367">
        <v>300</v>
      </c>
      <c r="AC367" t="s">
        <v>41</v>
      </c>
    </row>
    <row r="368" spans="1:29" ht="12.75">
      <c r="A368" t="str">
        <f>"66198698B5"</f>
        <v>66198698B5</v>
      </c>
      <c r="B368" t="str">
        <f>"02406911202"</f>
        <v>02406911202</v>
      </c>
      <c r="C368" t="s">
        <v>13</v>
      </c>
      <c r="D368" t="s">
        <v>30</v>
      </c>
      <c r="E368" t="s">
        <v>463</v>
      </c>
      <c r="F368" t="s">
        <v>32</v>
      </c>
      <c r="G368" t="str">
        <f>"12736110151"</f>
        <v>12736110151</v>
      </c>
      <c r="I368" t="s">
        <v>533</v>
      </c>
      <c r="L368" t="s">
        <v>34</v>
      </c>
      <c r="M368">
        <v>74364.84</v>
      </c>
      <c r="N368">
        <v>60100</v>
      </c>
      <c r="O368">
        <v>14264.84</v>
      </c>
      <c r="AC368" t="s">
        <v>41</v>
      </c>
    </row>
    <row r="369" spans="1:29" ht="12.75">
      <c r="A369" t="str">
        <f>"6619873C01"</f>
        <v>6619873C01</v>
      </c>
      <c r="B369" t="str">
        <f>"02406911202"</f>
        <v>02406911202</v>
      </c>
      <c r="C369" t="s">
        <v>13</v>
      </c>
      <c r="D369" t="s">
        <v>30</v>
      </c>
      <c r="E369" t="s">
        <v>463</v>
      </c>
      <c r="F369" t="s">
        <v>32</v>
      </c>
      <c r="G369" t="str">
        <f>"06954380157"</f>
        <v>06954380157</v>
      </c>
      <c r="I369" t="s">
        <v>534</v>
      </c>
      <c r="L369" t="s">
        <v>34</v>
      </c>
      <c r="M369">
        <v>404919.36</v>
      </c>
      <c r="N369">
        <v>217600</v>
      </c>
      <c r="O369">
        <v>108169.36</v>
      </c>
      <c r="P369">
        <v>79150</v>
      </c>
      <c r="AC369" t="s">
        <v>41</v>
      </c>
    </row>
    <row r="370" spans="1:29" ht="12.75">
      <c r="A370" t="str">
        <f>"6619875DA7"</f>
        <v>6619875DA7</v>
      </c>
      <c r="B370" t="str">
        <f>"02406911202"</f>
        <v>02406911202</v>
      </c>
      <c r="C370" t="s">
        <v>13</v>
      </c>
      <c r="D370" t="s">
        <v>30</v>
      </c>
      <c r="E370" t="s">
        <v>463</v>
      </c>
      <c r="F370" t="s">
        <v>32</v>
      </c>
      <c r="G370" t="str">
        <f>"02774840595"</f>
        <v>02774840595</v>
      </c>
      <c r="I370" t="s">
        <v>105</v>
      </c>
      <c r="L370" t="s">
        <v>34</v>
      </c>
      <c r="M370">
        <v>1808.69</v>
      </c>
      <c r="O370">
        <v>1808.69</v>
      </c>
      <c r="AC370" t="s">
        <v>41</v>
      </c>
    </row>
    <row r="371" spans="1:29" ht="12.75">
      <c r="A371" t="str">
        <f>"661988129E"</f>
        <v>661988129E</v>
      </c>
      <c r="B371" t="str">
        <f>"02406911202"</f>
        <v>02406911202</v>
      </c>
      <c r="C371" t="s">
        <v>13</v>
      </c>
      <c r="D371" t="s">
        <v>30</v>
      </c>
      <c r="E371" t="s">
        <v>463</v>
      </c>
      <c r="F371" t="s">
        <v>32</v>
      </c>
      <c r="G371" t="str">
        <f>"06954380157"</f>
        <v>06954380157</v>
      </c>
      <c r="I371" t="s">
        <v>534</v>
      </c>
      <c r="L371" t="s">
        <v>34</v>
      </c>
      <c r="M371">
        <v>500</v>
      </c>
      <c r="P371">
        <v>500</v>
      </c>
      <c r="AC371" t="s">
        <v>41</v>
      </c>
    </row>
    <row r="372" spans="1:29" ht="12.75">
      <c r="A372" t="str">
        <f>"6619904598"</f>
        <v>6619904598</v>
      </c>
      <c r="B372" t="str">
        <f>"02406911202"</f>
        <v>02406911202</v>
      </c>
      <c r="C372" t="s">
        <v>13</v>
      </c>
      <c r="D372" t="s">
        <v>30</v>
      </c>
      <c r="E372" t="s">
        <v>463</v>
      </c>
      <c r="F372" t="s">
        <v>32</v>
      </c>
      <c r="G372" t="str">
        <f>"00244540100"</f>
        <v>00244540100</v>
      </c>
      <c r="I372" t="s">
        <v>535</v>
      </c>
      <c r="L372" t="s">
        <v>34</v>
      </c>
      <c r="M372">
        <v>5672</v>
      </c>
      <c r="N372">
        <v>4000</v>
      </c>
      <c r="O372">
        <v>1672</v>
      </c>
      <c r="AC372" t="s">
        <v>41</v>
      </c>
    </row>
    <row r="373" spans="1:29" ht="12.75">
      <c r="A373" t="str">
        <f>"66199256EC"</f>
        <v>66199256EC</v>
      </c>
      <c r="B373" t="str">
        <f>"02406911202"</f>
        <v>02406911202</v>
      </c>
      <c r="C373" t="s">
        <v>13</v>
      </c>
      <c r="D373" t="s">
        <v>30</v>
      </c>
      <c r="E373" t="s">
        <v>463</v>
      </c>
      <c r="F373" t="s">
        <v>32</v>
      </c>
      <c r="G373" t="str">
        <f>"10128980157"</f>
        <v>10128980157</v>
      </c>
      <c r="I373" t="s">
        <v>536</v>
      </c>
      <c r="L373" t="s">
        <v>34</v>
      </c>
      <c r="M373">
        <v>3600</v>
      </c>
      <c r="O373">
        <v>3600</v>
      </c>
      <c r="AC373" t="s">
        <v>41</v>
      </c>
    </row>
    <row r="374" spans="1:29" ht="12.75">
      <c r="A374" t="str">
        <f>"6619933D84"</f>
        <v>6619933D84</v>
      </c>
      <c r="B374" t="str">
        <f>"02406911202"</f>
        <v>02406911202</v>
      </c>
      <c r="C374" t="s">
        <v>13</v>
      </c>
      <c r="D374" t="s">
        <v>30</v>
      </c>
      <c r="E374" t="s">
        <v>463</v>
      </c>
      <c r="F374" t="s">
        <v>32</v>
      </c>
      <c r="G374" t="str">
        <f>"04888070960"</f>
        <v>04888070960</v>
      </c>
      <c r="I374" t="s">
        <v>537</v>
      </c>
      <c r="L374" t="s">
        <v>34</v>
      </c>
      <c r="M374">
        <v>2200</v>
      </c>
      <c r="N374">
        <v>2200</v>
      </c>
      <c r="AC374" t="s">
        <v>41</v>
      </c>
    </row>
    <row r="375" spans="1:29" ht="12.75">
      <c r="A375" t="str">
        <f>"661994576D"</f>
        <v>661994576D</v>
      </c>
      <c r="B375" t="str">
        <f>"02406911202"</f>
        <v>02406911202</v>
      </c>
      <c r="C375" t="s">
        <v>13</v>
      </c>
      <c r="D375" t="s">
        <v>30</v>
      </c>
      <c r="E375" t="s">
        <v>463</v>
      </c>
      <c r="F375" t="s">
        <v>32</v>
      </c>
      <c r="G375" t="str">
        <f>"03716240969"</f>
        <v>03716240969</v>
      </c>
      <c r="I375" t="s">
        <v>538</v>
      </c>
      <c r="L375" t="s">
        <v>34</v>
      </c>
      <c r="M375">
        <v>2500</v>
      </c>
      <c r="P375">
        <v>2500</v>
      </c>
      <c r="AC375" t="s">
        <v>41</v>
      </c>
    </row>
    <row r="376" spans="1:29" ht="12.75">
      <c r="A376" t="str">
        <f>"6619953E05"</f>
        <v>6619953E05</v>
      </c>
      <c r="B376" t="str">
        <f>"02406911202"</f>
        <v>02406911202</v>
      </c>
      <c r="C376" t="s">
        <v>13</v>
      </c>
      <c r="D376" t="s">
        <v>30</v>
      </c>
      <c r="E376" t="s">
        <v>463</v>
      </c>
      <c r="F376" t="s">
        <v>32</v>
      </c>
      <c r="G376" t="str">
        <f>"01768930131"</f>
        <v>01768930131</v>
      </c>
      <c r="I376" t="s">
        <v>539</v>
      </c>
      <c r="L376" t="s">
        <v>34</v>
      </c>
      <c r="M376">
        <v>614</v>
      </c>
      <c r="O376">
        <v>614</v>
      </c>
      <c r="AC376" t="s">
        <v>41</v>
      </c>
    </row>
    <row r="377" spans="1:29" ht="12.75">
      <c r="A377" t="str">
        <f>"6619957156"</f>
        <v>6619957156</v>
      </c>
      <c r="B377" t="str">
        <f>"02406911202"</f>
        <v>02406911202</v>
      </c>
      <c r="C377" t="s">
        <v>13</v>
      </c>
      <c r="D377" t="s">
        <v>30</v>
      </c>
      <c r="E377" t="s">
        <v>463</v>
      </c>
      <c r="F377" t="s">
        <v>32</v>
      </c>
      <c r="G377" t="str">
        <f>"00747170157"</f>
        <v>00747170157</v>
      </c>
      <c r="I377" t="s">
        <v>435</v>
      </c>
      <c r="L377" t="s">
        <v>34</v>
      </c>
      <c r="M377">
        <v>729918.91</v>
      </c>
      <c r="N377">
        <v>302600</v>
      </c>
      <c r="O377">
        <v>6218.91</v>
      </c>
      <c r="P377">
        <v>421100</v>
      </c>
      <c r="AC377" t="s">
        <v>41</v>
      </c>
    </row>
    <row r="378" spans="1:29" ht="12.75">
      <c r="A378" t="str">
        <f>"6619971CE0"</f>
        <v>6619971CE0</v>
      </c>
      <c r="B378" t="str">
        <f>"02406911202"</f>
        <v>02406911202</v>
      </c>
      <c r="C378" t="s">
        <v>13</v>
      </c>
      <c r="D378" t="s">
        <v>30</v>
      </c>
      <c r="E378" t="s">
        <v>463</v>
      </c>
      <c r="F378" t="s">
        <v>32</v>
      </c>
      <c r="G378" t="str">
        <f>"00226250165"</f>
        <v>00226250165</v>
      </c>
      <c r="I378" t="s">
        <v>540</v>
      </c>
      <c r="L378" t="s">
        <v>34</v>
      </c>
      <c r="M378">
        <v>99301.7</v>
      </c>
      <c r="N378">
        <v>31100</v>
      </c>
      <c r="O378">
        <v>58701.7</v>
      </c>
      <c r="P378">
        <v>9500</v>
      </c>
      <c r="AC378" t="s">
        <v>41</v>
      </c>
    </row>
    <row r="379" spans="1:29" ht="12.75">
      <c r="A379" t="str">
        <f>"66199771D7"</f>
        <v>66199771D7</v>
      </c>
      <c r="B379" t="str">
        <f>"02406911202"</f>
        <v>02406911202</v>
      </c>
      <c r="C379" t="s">
        <v>13</v>
      </c>
      <c r="D379" t="s">
        <v>30</v>
      </c>
      <c r="E379" t="s">
        <v>463</v>
      </c>
      <c r="F379" t="s">
        <v>32</v>
      </c>
      <c r="G379" t="str">
        <f>"00122890874"</f>
        <v>00122890874</v>
      </c>
      <c r="I379" t="s">
        <v>541</v>
      </c>
      <c r="L379" t="s">
        <v>34</v>
      </c>
      <c r="M379">
        <v>5062.44</v>
      </c>
      <c r="N379">
        <v>3900</v>
      </c>
      <c r="O379">
        <v>262.44</v>
      </c>
      <c r="P379">
        <v>900</v>
      </c>
      <c r="AC379" t="s">
        <v>41</v>
      </c>
    </row>
    <row r="380" spans="1:29" ht="12.75">
      <c r="A380" t="str">
        <f>"661998479C"</f>
        <v>661998479C</v>
      </c>
      <c r="B380" t="str">
        <f>"02406911202"</f>
        <v>02406911202</v>
      </c>
      <c r="C380" t="s">
        <v>13</v>
      </c>
      <c r="D380" t="s">
        <v>30</v>
      </c>
      <c r="E380" t="s">
        <v>463</v>
      </c>
      <c r="F380" t="s">
        <v>32</v>
      </c>
      <c r="G380" t="str">
        <f>"02689300123"</f>
        <v>02689300123</v>
      </c>
      <c r="I380" t="s">
        <v>164</v>
      </c>
      <c r="L380" t="s">
        <v>34</v>
      </c>
      <c r="M380">
        <v>150531.85</v>
      </c>
      <c r="N380">
        <v>32000</v>
      </c>
      <c r="O380">
        <v>111281.85</v>
      </c>
      <c r="P380">
        <v>7250</v>
      </c>
      <c r="AC380" t="s">
        <v>41</v>
      </c>
    </row>
    <row r="381" spans="1:29" ht="12.75">
      <c r="A381" t="str">
        <f>"6619996185"</f>
        <v>6619996185</v>
      </c>
      <c r="B381" t="str">
        <f>"02406911202"</f>
        <v>02406911202</v>
      </c>
      <c r="C381" t="s">
        <v>13</v>
      </c>
      <c r="D381" t="s">
        <v>30</v>
      </c>
      <c r="E381" t="s">
        <v>463</v>
      </c>
      <c r="F381" t="s">
        <v>32</v>
      </c>
      <c r="G381" t="str">
        <f>"00832400154"</f>
        <v>00832400154</v>
      </c>
      <c r="I381" t="s">
        <v>159</v>
      </c>
      <c r="L381" t="s">
        <v>34</v>
      </c>
      <c r="M381">
        <v>306681.69</v>
      </c>
      <c r="N381">
        <v>12800</v>
      </c>
      <c r="O381">
        <v>44031.69</v>
      </c>
      <c r="P381">
        <v>249850</v>
      </c>
      <c r="AC381" t="s">
        <v>41</v>
      </c>
    </row>
    <row r="382" spans="1:29" ht="12.75">
      <c r="A382" t="str">
        <f>"662000481D"</f>
        <v>662000481D</v>
      </c>
      <c r="B382" t="str">
        <f>"02406911202"</f>
        <v>02406911202</v>
      </c>
      <c r="C382" t="s">
        <v>13</v>
      </c>
      <c r="D382" t="s">
        <v>30</v>
      </c>
      <c r="E382" t="s">
        <v>463</v>
      </c>
      <c r="F382" t="s">
        <v>32</v>
      </c>
      <c r="G382" t="str">
        <f>"00958350522"</f>
        <v>00958350522</v>
      </c>
      <c r="I382" t="s">
        <v>542</v>
      </c>
      <c r="L382" t="s">
        <v>34</v>
      </c>
      <c r="M382">
        <v>1900</v>
      </c>
      <c r="P382">
        <v>1900</v>
      </c>
      <c r="AC382" t="s">
        <v>41</v>
      </c>
    </row>
    <row r="383" spans="1:29" ht="12.75">
      <c r="A383" t="str">
        <f>"6620007A96"</f>
        <v>6620007A96</v>
      </c>
      <c r="B383" t="str">
        <f>"02406911202"</f>
        <v>02406911202</v>
      </c>
      <c r="C383" t="s">
        <v>13</v>
      </c>
      <c r="D383" t="s">
        <v>30</v>
      </c>
      <c r="E383" t="s">
        <v>463</v>
      </c>
      <c r="F383" t="s">
        <v>32</v>
      </c>
      <c r="G383" t="str">
        <f>"00924251002"</f>
        <v>00924251002</v>
      </c>
      <c r="I383" t="s">
        <v>543</v>
      </c>
      <c r="L383" t="s">
        <v>34</v>
      </c>
      <c r="M383">
        <v>191638.87</v>
      </c>
      <c r="N383">
        <v>135900</v>
      </c>
      <c r="O383">
        <v>50388.87</v>
      </c>
      <c r="P383">
        <v>5350</v>
      </c>
      <c r="AC383" t="s">
        <v>41</v>
      </c>
    </row>
    <row r="384" spans="1:29" ht="12.75">
      <c r="A384" t="str">
        <f>"662001EF88"</f>
        <v>662001EF88</v>
      </c>
      <c r="B384" t="str">
        <f>"02406911202"</f>
        <v>02406911202</v>
      </c>
      <c r="C384" t="s">
        <v>13</v>
      </c>
      <c r="D384" t="s">
        <v>30</v>
      </c>
      <c r="E384" t="s">
        <v>463</v>
      </c>
      <c r="F384" t="s">
        <v>32</v>
      </c>
      <c r="G384" t="str">
        <f>"00643730419"</f>
        <v>00643730419</v>
      </c>
      <c r="I384" t="s">
        <v>544</v>
      </c>
      <c r="L384" t="s">
        <v>34</v>
      </c>
      <c r="M384">
        <v>146500</v>
      </c>
      <c r="N384">
        <v>146500</v>
      </c>
      <c r="AC384" t="s">
        <v>41</v>
      </c>
    </row>
    <row r="385" spans="1:29" ht="12.75">
      <c r="A385" t="str">
        <f>"662001947F"</f>
        <v>662001947F</v>
      </c>
      <c r="B385" t="str">
        <f>"02406911202"</f>
        <v>02406911202</v>
      </c>
      <c r="C385" t="s">
        <v>13</v>
      </c>
      <c r="D385" t="s">
        <v>30</v>
      </c>
      <c r="E385" t="s">
        <v>463</v>
      </c>
      <c r="F385" t="s">
        <v>32</v>
      </c>
      <c r="G385" t="str">
        <f>"00410650584"</f>
        <v>00410650584</v>
      </c>
      <c r="I385" t="s">
        <v>545</v>
      </c>
      <c r="L385" t="s">
        <v>34</v>
      </c>
      <c r="M385">
        <v>19449.67</v>
      </c>
      <c r="N385">
        <v>900</v>
      </c>
      <c r="O385">
        <v>12299.67</v>
      </c>
      <c r="P385">
        <v>6250</v>
      </c>
      <c r="AC385" t="s">
        <v>41</v>
      </c>
    </row>
    <row r="386" spans="1:29" ht="12.75">
      <c r="A386" t="str">
        <f>"662002489E"</f>
        <v>662002489E</v>
      </c>
      <c r="B386" t="str">
        <f>"02406911202"</f>
        <v>02406911202</v>
      </c>
      <c r="C386" t="s">
        <v>13</v>
      </c>
      <c r="D386" t="s">
        <v>30</v>
      </c>
      <c r="E386" t="s">
        <v>463</v>
      </c>
      <c r="F386" t="s">
        <v>32</v>
      </c>
      <c r="G386" t="str">
        <f>"00410650584"</f>
        <v>00410650584</v>
      </c>
      <c r="I386" t="s">
        <v>545</v>
      </c>
      <c r="L386" t="s">
        <v>34</v>
      </c>
      <c r="M386">
        <v>13000</v>
      </c>
      <c r="O386">
        <v>13000</v>
      </c>
      <c r="AC386" t="s">
        <v>41</v>
      </c>
    </row>
    <row r="387" spans="1:29" ht="12.75">
      <c r="A387" t="str">
        <f>"6620028BEA"</f>
        <v>6620028BEA</v>
      </c>
      <c r="B387" t="str">
        <f>"02406911202"</f>
        <v>02406911202</v>
      </c>
      <c r="C387" t="s">
        <v>13</v>
      </c>
      <c r="D387" t="s">
        <v>30</v>
      </c>
      <c r="E387" t="s">
        <v>463</v>
      </c>
      <c r="F387" t="s">
        <v>32</v>
      </c>
      <c r="G387" t="str">
        <f>"03428610152"</f>
        <v>03428610152</v>
      </c>
      <c r="I387" t="s">
        <v>546</v>
      </c>
      <c r="L387" t="s">
        <v>34</v>
      </c>
      <c r="M387">
        <v>15961.4</v>
      </c>
      <c r="N387">
        <v>300</v>
      </c>
      <c r="O387">
        <v>3161.4</v>
      </c>
      <c r="P387">
        <v>12500</v>
      </c>
      <c r="AC387" t="s">
        <v>41</v>
      </c>
    </row>
    <row r="388" spans="1:29" ht="12.75">
      <c r="A388" t="str">
        <f>"6620032F36"</f>
        <v>6620032F36</v>
      </c>
      <c r="B388" t="str">
        <f>"02406911202"</f>
        <v>02406911202</v>
      </c>
      <c r="C388" t="s">
        <v>13</v>
      </c>
      <c r="D388" t="s">
        <v>30</v>
      </c>
      <c r="E388" t="s">
        <v>463</v>
      </c>
      <c r="F388" t="s">
        <v>32</v>
      </c>
      <c r="G388" t="str">
        <f>"00747030153"</f>
        <v>00747030153</v>
      </c>
      <c r="I388" t="s">
        <v>547</v>
      </c>
      <c r="L388" t="s">
        <v>34</v>
      </c>
      <c r="M388">
        <v>7166.21</v>
      </c>
      <c r="N388">
        <v>5700</v>
      </c>
      <c r="O388">
        <v>466.21</v>
      </c>
      <c r="P388">
        <v>1000</v>
      </c>
      <c r="AC388" t="s">
        <v>41</v>
      </c>
    </row>
    <row r="389" spans="1:29" ht="12.75">
      <c r="A389" t="str">
        <f>"66200405D3"</f>
        <v>66200405D3</v>
      </c>
      <c r="B389" t="str">
        <f>"02406911202"</f>
        <v>02406911202</v>
      </c>
      <c r="C389" t="s">
        <v>13</v>
      </c>
      <c r="D389" t="s">
        <v>30</v>
      </c>
      <c r="E389" t="s">
        <v>463</v>
      </c>
      <c r="F389" t="s">
        <v>32</v>
      </c>
      <c r="G389" t="str">
        <f>"06171190967"</f>
        <v>06171190967</v>
      </c>
      <c r="I389" t="s">
        <v>548</v>
      </c>
      <c r="L389" t="s">
        <v>34</v>
      </c>
      <c r="M389">
        <v>3773.71</v>
      </c>
      <c r="N389">
        <v>600</v>
      </c>
      <c r="O389">
        <v>173.71</v>
      </c>
      <c r="P389">
        <v>3000</v>
      </c>
      <c r="AC389" t="s">
        <v>41</v>
      </c>
    </row>
    <row r="390" spans="1:29" ht="12.75">
      <c r="A390" t="str">
        <f>"66200459F2"</f>
        <v>66200459F2</v>
      </c>
      <c r="B390" t="str">
        <f>"02406911202"</f>
        <v>02406911202</v>
      </c>
      <c r="C390" t="s">
        <v>13</v>
      </c>
      <c r="D390" t="s">
        <v>30</v>
      </c>
      <c r="E390" t="s">
        <v>463</v>
      </c>
      <c r="F390" t="s">
        <v>32</v>
      </c>
      <c r="G390" t="str">
        <f>"05288990962"</f>
        <v>05288990962</v>
      </c>
      <c r="I390" t="s">
        <v>322</v>
      </c>
      <c r="L390" t="s">
        <v>34</v>
      </c>
      <c r="M390">
        <v>7376.96</v>
      </c>
      <c r="O390">
        <v>7376.96</v>
      </c>
      <c r="AC390" t="s">
        <v>41</v>
      </c>
    </row>
    <row r="391" spans="1:29" ht="12.75">
      <c r="A391" t="str">
        <f>"6620048C6B"</f>
        <v>6620048C6B</v>
      </c>
      <c r="B391" t="str">
        <f>"02406911202"</f>
        <v>02406911202</v>
      </c>
      <c r="C391" t="s">
        <v>13</v>
      </c>
      <c r="D391" t="s">
        <v>30</v>
      </c>
      <c r="E391" t="s">
        <v>463</v>
      </c>
      <c r="F391" t="s">
        <v>32</v>
      </c>
      <c r="G391" t="str">
        <f>"00696360155"</f>
        <v>00696360155</v>
      </c>
      <c r="I391" t="s">
        <v>277</v>
      </c>
      <c r="L391" t="s">
        <v>34</v>
      </c>
      <c r="M391">
        <v>66894</v>
      </c>
      <c r="N391">
        <v>24600</v>
      </c>
      <c r="O391">
        <v>22844</v>
      </c>
      <c r="P391">
        <v>19450</v>
      </c>
      <c r="AC391" t="s">
        <v>41</v>
      </c>
    </row>
    <row r="392" spans="1:29" ht="12.75">
      <c r="A392" t="str">
        <f>"6620060654"</f>
        <v>6620060654</v>
      </c>
      <c r="B392" t="str">
        <f>"02406911202"</f>
        <v>02406911202</v>
      </c>
      <c r="C392" t="s">
        <v>13</v>
      </c>
      <c r="D392" t="s">
        <v>30</v>
      </c>
      <c r="E392" t="s">
        <v>463</v>
      </c>
      <c r="F392" t="s">
        <v>32</v>
      </c>
      <c r="G392" t="str">
        <f>"01423300183"</f>
        <v>01423300183</v>
      </c>
      <c r="I392" t="s">
        <v>549</v>
      </c>
      <c r="L392" t="s">
        <v>34</v>
      </c>
      <c r="M392">
        <v>93350.23</v>
      </c>
      <c r="N392">
        <v>74200</v>
      </c>
      <c r="O392">
        <v>16100.23</v>
      </c>
      <c r="P392">
        <v>3050</v>
      </c>
      <c r="AC392" t="s">
        <v>41</v>
      </c>
    </row>
    <row r="393" spans="1:29" ht="12.75">
      <c r="A393" t="str">
        <f>"6620069DBF"</f>
        <v>6620069DBF</v>
      </c>
      <c r="B393" t="str">
        <f>"02406911202"</f>
        <v>02406911202</v>
      </c>
      <c r="C393" t="s">
        <v>13</v>
      </c>
      <c r="D393" t="s">
        <v>30</v>
      </c>
      <c r="E393" t="s">
        <v>463</v>
      </c>
      <c r="F393" t="s">
        <v>32</v>
      </c>
      <c r="G393" t="str">
        <f>"11654150157"</f>
        <v>11654150157</v>
      </c>
      <c r="I393" t="s">
        <v>550</v>
      </c>
      <c r="L393" t="s">
        <v>34</v>
      </c>
      <c r="M393">
        <v>161105.89</v>
      </c>
      <c r="N393">
        <v>53900</v>
      </c>
      <c r="O393">
        <v>43205.89</v>
      </c>
      <c r="P393">
        <v>61500</v>
      </c>
      <c r="Q393">
        <v>2500</v>
      </c>
      <c r="AC393" t="s">
        <v>41</v>
      </c>
    </row>
    <row r="394" spans="1:29" ht="12.75">
      <c r="A394" t="str">
        <f>"6621293FD2"</f>
        <v>6621293FD2</v>
      </c>
      <c r="B394" t="str">
        <f>"02406911202"</f>
        <v>02406911202</v>
      </c>
      <c r="C394" t="s">
        <v>13</v>
      </c>
      <c r="D394" t="s">
        <v>30</v>
      </c>
      <c r="E394" t="s">
        <v>463</v>
      </c>
      <c r="F394" t="s">
        <v>32</v>
      </c>
      <c r="G394" t="str">
        <f>"07649050965"</f>
        <v>07649050965</v>
      </c>
      <c r="I394" t="s">
        <v>551</v>
      </c>
      <c r="L394" t="s">
        <v>34</v>
      </c>
      <c r="M394">
        <v>500</v>
      </c>
      <c r="P394">
        <v>500</v>
      </c>
      <c r="AC394" t="s">
        <v>41</v>
      </c>
    </row>
    <row r="395" spans="1:29" ht="12.75">
      <c r="A395" t="str">
        <f>"6621297323"</f>
        <v>6621297323</v>
      </c>
      <c r="B395" t="str">
        <f>"02406911202"</f>
        <v>02406911202</v>
      </c>
      <c r="C395" t="s">
        <v>13</v>
      </c>
      <c r="D395" t="s">
        <v>30</v>
      </c>
      <c r="E395" t="s">
        <v>463</v>
      </c>
      <c r="F395" t="s">
        <v>32</v>
      </c>
      <c r="G395" t="str">
        <f>"11957290155"</f>
        <v>11957290155</v>
      </c>
      <c r="I395" t="s">
        <v>552</v>
      </c>
      <c r="L395" t="s">
        <v>34</v>
      </c>
      <c r="M395">
        <v>11315.36</v>
      </c>
      <c r="N395">
        <v>4500</v>
      </c>
      <c r="O395">
        <v>4315.36</v>
      </c>
      <c r="P395">
        <v>2500</v>
      </c>
      <c r="AC395" t="s">
        <v>41</v>
      </c>
    </row>
    <row r="396" spans="1:29" ht="12.75">
      <c r="A396" t="str">
        <f>"66212994C9"</f>
        <v>66212994C9</v>
      </c>
      <c r="B396" t="str">
        <f>"02406911202"</f>
        <v>02406911202</v>
      </c>
      <c r="C396" t="s">
        <v>13</v>
      </c>
      <c r="D396" t="s">
        <v>30</v>
      </c>
      <c r="E396" t="s">
        <v>463</v>
      </c>
      <c r="F396" t="s">
        <v>32</v>
      </c>
      <c r="G396" t="str">
        <f>"00471770016"</f>
        <v>00471770016</v>
      </c>
      <c r="I396" t="s">
        <v>437</v>
      </c>
      <c r="L396" t="s">
        <v>34</v>
      </c>
      <c r="M396">
        <v>10600</v>
      </c>
      <c r="N396">
        <v>1600</v>
      </c>
      <c r="P396">
        <v>9000</v>
      </c>
      <c r="AC396" t="s">
        <v>41</v>
      </c>
    </row>
    <row r="397" spans="1:29" ht="12.75">
      <c r="A397" t="str">
        <f>"6621302742"</f>
        <v>6621302742</v>
      </c>
      <c r="B397" t="str">
        <f>"02406911202"</f>
        <v>02406911202</v>
      </c>
      <c r="C397" t="s">
        <v>13</v>
      </c>
      <c r="D397" t="s">
        <v>30</v>
      </c>
      <c r="E397" t="s">
        <v>463</v>
      </c>
      <c r="F397" t="s">
        <v>32</v>
      </c>
      <c r="G397" t="str">
        <f>"04874990155"</f>
        <v>04874990155</v>
      </c>
      <c r="I397" t="s">
        <v>553</v>
      </c>
      <c r="L397" t="s">
        <v>34</v>
      </c>
      <c r="M397">
        <v>3889</v>
      </c>
      <c r="N397">
        <v>2700</v>
      </c>
      <c r="O397">
        <v>189</v>
      </c>
      <c r="P397">
        <v>1000</v>
      </c>
      <c r="AC397" t="s">
        <v>41</v>
      </c>
    </row>
    <row r="398" spans="1:29" ht="12.75">
      <c r="A398" t="str">
        <f>"6621307B61"</f>
        <v>6621307B61</v>
      </c>
      <c r="B398" t="str">
        <f>"02406911202"</f>
        <v>02406911202</v>
      </c>
      <c r="C398" t="s">
        <v>13</v>
      </c>
      <c r="D398" t="s">
        <v>30</v>
      </c>
      <c r="E398" t="s">
        <v>463</v>
      </c>
      <c r="F398" t="s">
        <v>32</v>
      </c>
      <c r="G398" t="str">
        <f>"03804220154"</f>
        <v>03804220154</v>
      </c>
      <c r="I398" t="s">
        <v>554</v>
      </c>
      <c r="L398" t="s">
        <v>34</v>
      </c>
      <c r="M398">
        <v>31342.27</v>
      </c>
      <c r="N398">
        <v>22200</v>
      </c>
      <c r="O398">
        <v>9142.27</v>
      </c>
      <c r="AC398" t="s">
        <v>41</v>
      </c>
    </row>
    <row r="399" spans="1:29" ht="12.75">
      <c r="A399" t="str">
        <f>"66293600F0"</f>
        <v>66293600F0</v>
      </c>
      <c r="B399" t="str">
        <f>"02406911202"</f>
        <v>02406911202</v>
      </c>
      <c r="C399" t="s">
        <v>13</v>
      </c>
      <c r="D399" t="s">
        <v>30</v>
      </c>
      <c r="E399" t="s">
        <v>555</v>
      </c>
      <c r="F399" t="s">
        <v>46</v>
      </c>
      <c r="G399" t="str">
        <f>"09238800156"</f>
        <v>09238800156</v>
      </c>
      <c r="I399" t="s">
        <v>72</v>
      </c>
      <c r="L399" t="s">
        <v>34</v>
      </c>
      <c r="M399">
        <v>195000</v>
      </c>
      <c r="O399">
        <v>195000</v>
      </c>
      <c r="AA399" t="s">
        <v>66</v>
      </c>
      <c r="AB399" t="s">
        <v>67</v>
      </c>
      <c r="AC399" t="s">
        <v>41</v>
      </c>
    </row>
    <row r="400" spans="1:29" ht="12.75">
      <c r="A400" t="str">
        <f>"0000000000"</f>
        <v>0000000000</v>
      </c>
      <c r="B400" t="str">
        <f>"02406911202"</f>
        <v>02406911202</v>
      </c>
      <c r="C400" t="s">
        <v>13</v>
      </c>
      <c r="D400" t="s">
        <v>30</v>
      </c>
      <c r="E400" t="s">
        <v>556</v>
      </c>
      <c r="F400" t="s">
        <v>557</v>
      </c>
      <c r="G400" t="str">
        <f>"04313250377"</f>
        <v>04313250377</v>
      </c>
      <c r="I400" t="s">
        <v>558</v>
      </c>
      <c r="L400" t="s">
        <v>34</v>
      </c>
      <c r="M400">
        <v>1152560</v>
      </c>
      <c r="N400">
        <v>687350</v>
      </c>
      <c r="P400">
        <v>116580</v>
      </c>
      <c r="R400">
        <v>348630</v>
      </c>
      <c r="AC400" t="s">
        <v>41</v>
      </c>
    </row>
    <row r="401" spans="1:29" ht="12.75">
      <c r="A401" t="str">
        <f>"65537662CB"</f>
        <v>65537662CB</v>
      </c>
      <c r="B401" t="str">
        <f>"02406911202"</f>
        <v>02406911202</v>
      </c>
      <c r="C401" t="s">
        <v>13</v>
      </c>
      <c r="D401" t="s">
        <v>30</v>
      </c>
      <c r="E401" t="s">
        <v>559</v>
      </c>
      <c r="F401" t="s">
        <v>32</v>
      </c>
      <c r="G401" t="str">
        <f>"13110270157"</f>
        <v>13110270157</v>
      </c>
      <c r="I401" t="s">
        <v>560</v>
      </c>
      <c r="L401" t="s">
        <v>34</v>
      </c>
      <c r="M401">
        <v>183503.64</v>
      </c>
      <c r="O401">
        <v>183503.64</v>
      </c>
      <c r="AC401" t="s">
        <v>41</v>
      </c>
    </row>
    <row r="402" spans="1:29" ht="12.75">
      <c r="A402" t="str">
        <f>"65537662CB"</f>
        <v>65537662CB</v>
      </c>
      <c r="B402" t="str">
        <f>"02406911202"</f>
        <v>02406911202</v>
      </c>
      <c r="C402" t="s">
        <v>13</v>
      </c>
      <c r="D402" t="s">
        <v>30</v>
      </c>
      <c r="E402" t="s">
        <v>559</v>
      </c>
      <c r="F402" t="s">
        <v>32</v>
      </c>
      <c r="G402" t="str">
        <f>"02483840423"</f>
        <v>02483840423</v>
      </c>
      <c r="I402" t="s">
        <v>561</v>
      </c>
      <c r="L402" t="s">
        <v>91</v>
      </c>
      <c r="AC402" t="s">
        <v>41</v>
      </c>
    </row>
    <row r="403" spans="1:29" ht="12.75">
      <c r="A403" t="str">
        <f>"65537662CB"</f>
        <v>65537662CB</v>
      </c>
      <c r="B403" t="str">
        <f>"02406911202"</f>
        <v>02406911202</v>
      </c>
      <c r="C403" t="s">
        <v>13</v>
      </c>
      <c r="D403" t="s">
        <v>30</v>
      </c>
      <c r="E403" t="s">
        <v>559</v>
      </c>
      <c r="F403" t="s">
        <v>32</v>
      </c>
      <c r="G403" t="str">
        <f>"00076670595"</f>
        <v>00076670595</v>
      </c>
      <c r="I403" t="s">
        <v>104</v>
      </c>
      <c r="L403" t="s">
        <v>91</v>
      </c>
      <c r="AC403" t="s">
        <v>41</v>
      </c>
    </row>
    <row r="404" spans="1:29" ht="12.75">
      <c r="A404" t="str">
        <f>"65537662CB"</f>
        <v>65537662CB</v>
      </c>
      <c r="B404" t="str">
        <f>"02406911202"</f>
        <v>02406911202</v>
      </c>
      <c r="C404" t="s">
        <v>13</v>
      </c>
      <c r="D404" t="s">
        <v>30</v>
      </c>
      <c r="E404" t="s">
        <v>559</v>
      </c>
      <c r="F404" t="s">
        <v>32</v>
      </c>
      <c r="G404" t="str">
        <f>"00751160151"</f>
        <v>00751160151</v>
      </c>
      <c r="I404" t="s">
        <v>562</v>
      </c>
      <c r="L404" t="s">
        <v>91</v>
      </c>
      <c r="AC404" t="s">
        <v>41</v>
      </c>
    </row>
    <row r="405" spans="1:29" ht="12.75">
      <c r="A405" t="str">
        <f>"65537662CB"</f>
        <v>65537662CB</v>
      </c>
      <c r="B405" t="str">
        <f>"02406911202"</f>
        <v>02406911202</v>
      </c>
      <c r="C405" t="s">
        <v>13</v>
      </c>
      <c r="D405" t="s">
        <v>30</v>
      </c>
      <c r="E405" t="s">
        <v>559</v>
      </c>
      <c r="F405" t="s">
        <v>32</v>
      </c>
      <c r="G405" t="str">
        <f>"00420240376"</f>
        <v>00420240376</v>
      </c>
      <c r="I405" t="s">
        <v>292</v>
      </c>
      <c r="L405" t="s">
        <v>91</v>
      </c>
      <c r="AC405" t="s">
        <v>41</v>
      </c>
    </row>
    <row r="406" spans="1:29" ht="12.75">
      <c r="A406" t="str">
        <f>"65537662CB"</f>
        <v>65537662CB</v>
      </c>
      <c r="B406" t="str">
        <f>"02406911202"</f>
        <v>02406911202</v>
      </c>
      <c r="C406" t="s">
        <v>13</v>
      </c>
      <c r="D406" t="s">
        <v>30</v>
      </c>
      <c r="E406" t="s">
        <v>559</v>
      </c>
      <c r="F406" t="s">
        <v>32</v>
      </c>
      <c r="G406" t="str">
        <f>"02504331204"</f>
        <v>02504331204</v>
      </c>
      <c r="I406" t="s">
        <v>446</v>
      </c>
      <c r="L406" t="s">
        <v>91</v>
      </c>
      <c r="AC406" t="s">
        <v>41</v>
      </c>
    </row>
    <row r="407" spans="1:29" ht="12.75">
      <c r="A407" t="str">
        <f>"6606768D6A"</f>
        <v>6606768D6A</v>
      </c>
      <c r="B407" t="str">
        <f>"02406911202"</f>
        <v>02406911202</v>
      </c>
      <c r="C407" t="s">
        <v>13</v>
      </c>
      <c r="D407" t="s">
        <v>30</v>
      </c>
      <c r="E407" t="s">
        <v>563</v>
      </c>
      <c r="F407" t="s">
        <v>32</v>
      </c>
      <c r="G407" t="str">
        <f>"04749361004"</f>
        <v>04749361004</v>
      </c>
      <c r="I407" t="s">
        <v>564</v>
      </c>
      <c r="L407" t="s">
        <v>34</v>
      </c>
      <c r="M407">
        <v>157520</v>
      </c>
      <c r="N407">
        <v>115680</v>
      </c>
      <c r="P407">
        <v>10800</v>
      </c>
      <c r="R407">
        <v>31040</v>
      </c>
      <c r="AC407" t="s">
        <v>41</v>
      </c>
    </row>
    <row r="408" spans="1:29" ht="12.75">
      <c r="A408" t="str">
        <f>"6618396926"</f>
        <v>6618396926</v>
      </c>
      <c r="B408" t="str">
        <f>"02406911202"</f>
        <v>02406911202</v>
      </c>
      <c r="C408" t="s">
        <v>13</v>
      </c>
      <c r="D408" t="s">
        <v>30</v>
      </c>
      <c r="E408" t="s">
        <v>565</v>
      </c>
      <c r="F408" t="s">
        <v>32</v>
      </c>
      <c r="G408" t="str">
        <f>"04749361004"</f>
        <v>04749361004</v>
      </c>
      <c r="I408" t="s">
        <v>564</v>
      </c>
      <c r="L408" t="s">
        <v>34</v>
      </c>
      <c r="M408">
        <v>56424</v>
      </c>
      <c r="O408">
        <v>56424</v>
      </c>
      <c r="AC408" t="s">
        <v>41</v>
      </c>
    </row>
    <row r="409" spans="1:29" ht="12.75">
      <c r="A409" t="str">
        <f>"6617932A3E"</f>
        <v>6617932A3E</v>
      </c>
      <c r="B409" t="str">
        <f>"02406911202"</f>
        <v>02406911202</v>
      </c>
      <c r="C409" t="s">
        <v>13</v>
      </c>
      <c r="D409" t="s">
        <v>30</v>
      </c>
      <c r="E409" t="s">
        <v>566</v>
      </c>
      <c r="F409" t="s">
        <v>32</v>
      </c>
      <c r="G409" t="str">
        <f>"00856750153"</f>
        <v>00856750153</v>
      </c>
      <c r="I409" t="s">
        <v>451</v>
      </c>
      <c r="L409" t="s">
        <v>34</v>
      </c>
      <c r="M409">
        <v>392398.35</v>
      </c>
      <c r="N409">
        <v>28398.35</v>
      </c>
      <c r="P409">
        <v>364000</v>
      </c>
      <c r="AC409" t="s">
        <v>41</v>
      </c>
    </row>
    <row r="410" spans="1:29" ht="12.75">
      <c r="A410" t="str">
        <f>"6627821AE7"</f>
        <v>6627821AE7</v>
      </c>
      <c r="B410" t="str">
        <f>"02406911202"</f>
        <v>02406911202</v>
      </c>
      <c r="C410" t="s">
        <v>13</v>
      </c>
      <c r="D410" t="s">
        <v>30</v>
      </c>
      <c r="E410" t="s">
        <v>567</v>
      </c>
      <c r="F410" t="s">
        <v>32</v>
      </c>
      <c r="G410" t="str">
        <f>"00136740404"</f>
        <v>00136740404</v>
      </c>
      <c r="I410" t="s">
        <v>132</v>
      </c>
      <c r="J410" t="s">
        <v>568</v>
      </c>
      <c r="K410" t="s">
        <v>59</v>
      </c>
      <c r="AC410" t="s">
        <v>41</v>
      </c>
    </row>
    <row r="411" spans="1:29" ht="12.75">
      <c r="A411" t="str">
        <f>"6627821AE7"</f>
        <v>6627821AE7</v>
      </c>
      <c r="B411" t="str">
        <f>"02406911202"</f>
        <v>02406911202</v>
      </c>
      <c r="C411" t="s">
        <v>13</v>
      </c>
      <c r="D411" t="s">
        <v>30</v>
      </c>
      <c r="E411" t="s">
        <v>567</v>
      </c>
      <c r="F411" t="s">
        <v>32</v>
      </c>
      <c r="G411" t="str">
        <f>"03742130150"</f>
        <v>03742130150</v>
      </c>
      <c r="I411" t="s">
        <v>569</v>
      </c>
      <c r="J411" t="s">
        <v>568</v>
      </c>
      <c r="K411" t="s">
        <v>62</v>
      </c>
      <c r="AC411" t="s">
        <v>41</v>
      </c>
    </row>
    <row r="412" spans="1:29" ht="12.75">
      <c r="A412" t="str">
        <f>"6627821AE7"</f>
        <v>6627821AE7</v>
      </c>
      <c r="B412" t="str">
        <f>"02406911202"</f>
        <v>02406911202</v>
      </c>
      <c r="C412" t="s">
        <v>13</v>
      </c>
      <c r="D412" t="s">
        <v>30</v>
      </c>
      <c r="E412" t="s">
        <v>567</v>
      </c>
      <c r="F412" t="s">
        <v>32</v>
      </c>
      <c r="I412" t="s">
        <v>568</v>
      </c>
      <c r="L412" t="s">
        <v>34</v>
      </c>
      <c r="M412">
        <v>77868.84</v>
      </c>
      <c r="N412">
        <v>40983.6</v>
      </c>
      <c r="O412">
        <v>36885.24</v>
      </c>
      <c r="AC412" t="s">
        <v>41</v>
      </c>
    </row>
    <row r="413" spans="1:29" ht="12.75">
      <c r="A413" t="str">
        <f>"6643943335"</f>
        <v>6643943335</v>
      </c>
      <c r="B413" t="str">
        <f>"02406911202"</f>
        <v>02406911202</v>
      </c>
      <c r="C413" t="s">
        <v>13</v>
      </c>
      <c r="D413" t="s">
        <v>30</v>
      </c>
      <c r="E413" t="s">
        <v>570</v>
      </c>
      <c r="F413" t="s">
        <v>32</v>
      </c>
      <c r="G413" t="str">
        <f>"00340620376"</f>
        <v>00340620376</v>
      </c>
      <c r="I413" t="s">
        <v>571</v>
      </c>
      <c r="L413" t="s">
        <v>34</v>
      </c>
      <c r="M413">
        <v>10000</v>
      </c>
      <c r="Q413">
        <v>10000</v>
      </c>
      <c r="AC413" t="s">
        <v>41</v>
      </c>
    </row>
    <row r="414" spans="1:29" ht="12.75">
      <c r="A414" t="str">
        <f>"66426876B8"</f>
        <v>66426876B8</v>
      </c>
      <c r="B414" t="str">
        <f>"02406911202"</f>
        <v>02406911202</v>
      </c>
      <c r="C414" t="s">
        <v>13</v>
      </c>
      <c r="D414" t="s">
        <v>30</v>
      </c>
      <c r="E414" t="s">
        <v>572</v>
      </c>
      <c r="F414" t="s">
        <v>32</v>
      </c>
      <c r="G414" t="str">
        <f>"00899910244"</f>
        <v>00899910244</v>
      </c>
      <c r="I414" t="s">
        <v>573</v>
      </c>
      <c r="L414" t="s">
        <v>34</v>
      </c>
      <c r="M414">
        <v>1104629.69</v>
      </c>
      <c r="N414">
        <v>445938</v>
      </c>
      <c r="O414">
        <v>272300.67</v>
      </c>
      <c r="P414">
        <v>108721.95</v>
      </c>
      <c r="Q414">
        <v>38044.8</v>
      </c>
      <c r="R414">
        <v>158736.77</v>
      </c>
      <c r="S414">
        <v>80887.5</v>
      </c>
      <c r="AC414" t="s">
        <v>41</v>
      </c>
    </row>
    <row r="415" spans="1:29" ht="12.75">
      <c r="A415" t="str">
        <f>"66426990A1"</f>
        <v>66426990A1</v>
      </c>
      <c r="B415" t="str">
        <f>"02406911202"</f>
        <v>02406911202</v>
      </c>
      <c r="C415" t="s">
        <v>13</v>
      </c>
      <c r="D415" t="s">
        <v>30</v>
      </c>
      <c r="E415" t="s">
        <v>572</v>
      </c>
      <c r="F415" t="s">
        <v>32</v>
      </c>
      <c r="G415" t="str">
        <f>"02518990284"</f>
        <v>02518990284</v>
      </c>
      <c r="I415" t="s">
        <v>574</v>
      </c>
      <c r="L415" t="s">
        <v>34</v>
      </c>
      <c r="M415">
        <v>328467.09</v>
      </c>
      <c r="N415">
        <v>44770.28</v>
      </c>
      <c r="O415">
        <v>141085.28</v>
      </c>
      <c r="P415">
        <v>20272.5</v>
      </c>
      <c r="Q415">
        <v>834.75</v>
      </c>
      <c r="R415">
        <v>26653.65</v>
      </c>
      <c r="S415">
        <v>94850.63</v>
      </c>
      <c r="AC415" t="s">
        <v>41</v>
      </c>
    </row>
    <row r="416" spans="1:29" ht="12.75">
      <c r="A416" t="str">
        <f>"664270880C"</f>
        <v>664270880C</v>
      </c>
      <c r="B416" t="str">
        <f>"02406911202"</f>
        <v>02406911202</v>
      </c>
      <c r="C416" t="s">
        <v>13</v>
      </c>
      <c r="D416" t="s">
        <v>30</v>
      </c>
      <c r="E416" t="s">
        <v>572</v>
      </c>
      <c r="F416" t="s">
        <v>32</v>
      </c>
      <c r="G416" t="str">
        <f>"01857820284"</f>
        <v>01857820284</v>
      </c>
      <c r="I416" t="s">
        <v>575</v>
      </c>
      <c r="L416" t="s">
        <v>34</v>
      </c>
      <c r="M416">
        <v>8211.62</v>
      </c>
      <c r="N416">
        <v>747</v>
      </c>
      <c r="P416">
        <v>622.5</v>
      </c>
      <c r="R416">
        <v>1239.62</v>
      </c>
      <c r="S416">
        <v>5602.5</v>
      </c>
      <c r="AC416" t="s">
        <v>41</v>
      </c>
    </row>
    <row r="417" spans="1:29" ht="12.75">
      <c r="A417" t="str">
        <f>"6642715DD1"</f>
        <v>6642715DD1</v>
      </c>
      <c r="B417" t="str">
        <f>"02406911202"</f>
        <v>02406911202</v>
      </c>
      <c r="C417" t="s">
        <v>13</v>
      </c>
      <c r="D417" t="s">
        <v>30</v>
      </c>
      <c r="E417" t="s">
        <v>572</v>
      </c>
      <c r="F417" t="s">
        <v>32</v>
      </c>
      <c r="G417" t="str">
        <f>"00455430108"</f>
        <v>00455430108</v>
      </c>
      <c r="I417" t="s">
        <v>576</v>
      </c>
      <c r="L417" t="s">
        <v>34</v>
      </c>
      <c r="M417">
        <v>4993.85</v>
      </c>
      <c r="N417">
        <v>2346</v>
      </c>
      <c r="R417">
        <v>1240.25</v>
      </c>
      <c r="S417">
        <v>1407.6</v>
      </c>
      <c r="AC417" t="s">
        <v>41</v>
      </c>
    </row>
    <row r="418" spans="1:29" ht="12.75">
      <c r="A418" t="str">
        <f>"6642724541"</f>
        <v>6642724541</v>
      </c>
      <c r="B418" t="str">
        <f>"02406911202"</f>
        <v>02406911202</v>
      </c>
      <c r="C418" t="s">
        <v>13</v>
      </c>
      <c r="D418" t="s">
        <v>30</v>
      </c>
      <c r="E418" t="s">
        <v>572</v>
      </c>
      <c r="F418" t="s">
        <v>32</v>
      </c>
      <c r="G418" t="str">
        <f>"06324460150"</f>
        <v>06324460150</v>
      </c>
      <c r="I418" t="s">
        <v>357</v>
      </c>
      <c r="L418" t="s">
        <v>34</v>
      </c>
      <c r="M418">
        <v>1239.71</v>
      </c>
      <c r="R418">
        <v>1239.71</v>
      </c>
      <c r="AC418" t="s">
        <v>41</v>
      </c>
    </row>
    <row r="419" spans="1:29" ht="12.75">
      <c r="A419" t="str">
        <f>"6642731B06"</f>
        <v>6642731B06</v>
      </c>
      <c r="B419" t="str">
        <f>"02406911202"</f>
        <v>02406911202</v>
      </c>
      <c r="C419" t="s">
        <v>13</v>
      </c>
      <c r="D419" t="s">
        <v>30</v>
      </c>
      <c r="E419" t="s">
        <v>572</v>
      </c>
      <c r="F419" t="s">
        <v>32</v>
      </c>
      <c r="G419" t="str">
        <f>"01313240424"</f>
        <v>01313240424</v>
      </c>
      <c r="I419" t="s">
        <v>577</v>
      </c>
      <c r="L419" t="s">
        <v>34</v>
      </c>
      <c r="M419">
        <v>20752.25</v>
      </c>
      <c r="N419">
        <v>8113.5</v>
      </c>
      <c r="O419">
        <v>6422.7</v>
      </c>
      <c r="P419">
        <v>1185</v>
      </c>
      <c r="R419">
        <v>774.8</v>
      </c>
      <c r="S419">
        <v>4256.25</v>
      </c>
      <c r="AC419" t="s">
        <v>41</v>
      </c>
    </row>
    <row r="420" spans="1:29" ht="12.75">
      <c r="A420" t="str">
        <f>"66427445C2"</f>
        <v>66427445C2</v>
      </c>
      <c r="B420" t="str">
        <f>"02406911202"</f>
        <v>02406911202</v>
      </c>
      <c r="C420" t="s">
        <v>13</v>
      </c>
      <c r="D420" t="s">
        <v>30</v>
      </c>
      <c r="E420" t="s">
        <v>572</v>
      </c>
      <c r="F420" t="s">
        <v>32</v>
      </c>
      <c r="G420" t="str">
        <f>"12244190158"</f>
        <v>12244190158</v>
      </c>
      <c r="I420" t="s">
        <v>578</v>
      </c>
      <c r="L420" t="s">
        <v>34</v>
      </c>
      <c r="M420">
        <v>133266</v>
      </c>
      <c r="N420">
        <v>65550</v>
      </c>
      <c r="O420">
        <v>28386</v>
      </c>
      <c r="P420">
        <v>5130</v>
      </c>
      <c r="S420">
        <v>34200</v>
      </c>
      <c r="AC420" t="s">
        <v>41</v>
      </c>
    </row>
    <row r="421" spans="1:29" ht="12.75">
      <c r="A421" t="str">
        <f>"66427499E1"</f>
        <v>66427499E1</v>
      </c>
      <c r="B421" t="str">
        <f>"02406911202"</f>
        <v>02406911202</v>
      </c>
      <c r="C421" t="s">
        <v>13</v>
      </c>
      <c r="D421" t="s">
        <v>30</v>
      </c>
      <c r="E421" t="s">
        <v>572</v>
      </c>
      <c r="F421" t="s">
        <v>32</v>
      </c>
      <c r="G421" t="str">
        <f>"01167730355"</f>
        <v>01167730355</v>
      </c>
      <c r="I421" t="s">
        <v>579</v>
      </c>
      <c r="L421" t="s">
        <v>34</v>
      </c>
      <c r="M421">
        <v>17235</v>
      </c>
      <c r="O421">
        <v>17235</v>
      </c>
      <c r="AC421" t="s">
        <v>41</v>
      </c>
    </row>
    <row r="422" spans="1:30" ht="12.75">
      <c r="A422" t="str">
        <f>"6614337390"</f>
        <v>6614337390</v>
      </c>
      <c r="B422" t="str">
        <f>"02406911202"</f>
        <v>02406911202</v>
      </c>
      <c r="C422" t="s">
        <v>13</v>
      </c>
      <c r="D422" t="s">
        <v>30</v>
      </c>
      <c r="E422" t="s">
        <v>580</v>
      </c>
      <c r="F422" t="s">
        <v>32</v>
      </c>
      <c r="G422" t="str">
        <f>"03717020964"</f>
        <v>03717020964</v>
      </c>
      <c r="I422" t="s">
        <v>581</v>
      </c>
      <c r="L422" t="s">
        <v>34</v>
      </c>
      <c r="M422">
        <v>181855.84</v>
      </c>
      <c r="N422">
        <v>72993.84</v>
      </c>
      <c r="O422">
        <v>108862</v>
      </c>
      <c r="AC422" t="s">
        <v>41</v>
      </c>
      <c r="AD422" t="s">
        <v>582</v>
      </c>
    </row>
    <row r="423" spans="1:29" ht="12.75">
      <c r="A423" t="str">
        <f>"6644515B3A"</f>
        <v>6644515B3A</v>
      </c>
      <c r="B423" t="str">
        <f>"02406911202"</f>
        <v>02406911202</v>
      </c>
      <c r="C423" t="s">
        <v>13</v>
      </c>
      <c r="D423" t="s">
        <v>30</v>
      </c>
      <c r="E423" t="s">
        <v>583</v>
      </c>
      <c r="F423" t="s">
        <v>32</v>
      </c>
      <c r="G423" t="str">
        <f>"04647720483"</f>
        <v>04647720483</v>
      </c>
      <c r="I423" t="s">
        <v>584</v>
      </c>
      <c r="L423" t="s">
        <v>34</v>
      </c>
      <c r="M423">
        <v>916232.75</v>
      </c>
      <c r="N423">
        <v>210109.17</v>
      </c>
      <c r="O423">
        <v>630422.91</v>
      </c>
      <c r="P423">
        <v>43279</v>
      </c>
      <c r="Q423">
        <v>32421.67</v>
      </c>
      <c r="AC423" t="s">
        <v>41</v>
      </c>
    </row>
    <row r="424" spans="1:29" ht="12.75">
      <c r="A424" t="str">
        <f>"66445231D7"</f>
        <v>66445231D7</v>
      </c>
      <c r="B424" t="str">
        <f>"02406911202"</f>
        <v>02406911202</v>
      </c>
      <c r="C424" t="s">
        <v>13</v>
      </c>
      <c r="D424" t="s">
        <v>30</v>
      </c>
      <c r="E424" t="s">
        <v>583</v>
      </c>
      <c r="F424" t="s">
        <v>32</v>
      </c>
      <c r="G424" t="str">
        <f>"02292260599"</f>
        <v>02292260599</v>
      </c>
      <c r="I424" t="s">
        <v>504</v>
      </c>
      <c r="L424" t="s">
        <v>34</v>
      </c>
      <c r="M424">
        <v>12600</v>
      </c>
      <c r="O424">
        <v>12600</v>
      </c>
      <c r="AC424" t="s">
        <v>41</v>
      </c>
    </row>
    <row r="425" spans="1:29" ht="12.75">
      <c r="A425" t="str">
        <f>"664453079C"</f>
        <v>664453079C</v>
      </c>
      <c r="B425" t="str">
        <f>"02406911202"</f>
        <v>02406911202</v>
      </c>
      <c r="C425" t="s">
        <v>13</v>
      </c>
      <c r="D425" t="s">
        <v>30</v>
      </c>
      <c r="E425" t="s">
        <v>583</v>
      </c>
      <c r="F425" t="s">
        <v>32</v>
      </c>
      <c r="G425" t="str">
        <f>"08641790152"</f>
        <v>08641790152</v>
      </c>
      <c r="I425" t="s">
        <v>585</v>
      </c>
      <c r="L425" t="s">
        <v>34</v>
      </c>
      <c r="M425">
        <v>455509.54</v>
      </c>
      <c r="N425">
        <v>292570.83</v>
      </c>
      <c r="O425">
        <v>76330.46</v>
      </c>
      <c r="P425">
        <v>83607</v>
      </c>
      <c r="Q425">
        <v>3001.25</v>
      </c>
      <c r="AC425" t="s">
        <v>41</v>
      </c>
    </row>
    <row r="426" spans="1:29" ht="12.75">
      <c r="A426" t="str">
        <f>"66461597E7"</f>
        <v>66461597E7</v>
      </c>
      <c r="B426" t="str">
        <f>"02406911202"</f>
        <v>02406911202</v>
      </c>
      <c r="C426" t="s">
        <v>13</v>
      </c>
      <c r="D426" t="s">
        <v>30</v>
      </c>
      <c r="E426" t="s">
        <v>586</v>
      </c>
      <c r="F426" t="s">
        <v>32</v>
      </c>
      <c r="G426" t="str">
        <f>"04479460158"</f>
        <v>04479460158</v>
      </c>
      <c r="I426" t="s">
        <v>587</v>
      </c>
      <c r="L426" t="s">
        <v>34</v>
      </c>
      <c r="M426">
        <v>19926</v>
      </c>
      <c r="N426">
        <v>19440</v>
      </c>
      <c r="O426">
        <v>486</v>
      </c>
      <c r="AC426" t="s">
        <v>41</v>
      </c>
    </row>
    <row r="427" spans="1:29" ht="12.75">
      <c r="A427" t="str">
        <f>"6646164C06"</f>
        <v>6646164C06</v>
      </c>
      <c r="B427" t="str">
        <f>"02406911202"</f>
        <v>02406911202</v>
      </c>
      <c r="C427" t="s">
        <v>13</v>
      </c>
      <c r="D427" t="s">
        <v>30</v>
      </c>
      <c r="E427" t="s">
        <v>586</v>
      </c>
      <c r="F427" t="s">
        <v>32</v>
      </c>
      <c r="G427" t="str">
        <f>"02468610288"</f>
        <v>02468610288</v>
      </c>
      <c r="I427" t="s">
        <v>588</v>
      </c>
      <c r="L427" t="s">
        <v>34</v>
      </c>
      <c r="M427">
        <v>12465</v>
      </c>
      <c r="N427">
        <v>10035</v>
      </c>
      <c r="O427">
        <v>2430</v>
      </c>
      <c r="AC427" t="s">
        <v>41</v>
      </c>
    </row>
    <row r="428" spans="1:29" ht="12.75">
      <c r="A428" t="str">
        <f>"6647038ACC"</f>
        <v>6647038ACC</v>
      </c>
      <c r="B428" t="str">
        <f>"02406911202"</f>
        <v>02406911202</v>
      </c>
      <c r="C428" t="s">
        <v>13</v>
      </c>
      <c r="D428" t="s">
        <v>30</v>
      </c>
      <c r="E428" t="s">
        <v>586</v>
      </c>
      <c r="F428" t="s">
        <v>32</v>
      </c>
      <c r="G428" t="str">
        <f>"00422760587"</f>
        <v>00422760587</v>
      </c>
      <c r="I428" t="s">
        <v>282</v>
      </c>
      <c r="L428" t="s">
        <v>34</v>
      </c>
      <c r="M428">
        <v>968.2</v>
      </c>
      <c r="O428">
        <v>968.2</v>
      </c>
      <c r="AC428" t="s">
        <v>41</v>
      </c>
    </row>
    <row r="429" spans="1:29" ht="12.75">
      <c r="A429" t="str">
        <f>"6649167A2E"</f>
        <v>6649167A2E</v>
      </c>
      <c r="B429" t="str">
        <f>"02406911202"</f>
        <v>02406911202</v>
      </c>
      <c r="C429" t="s">
        <v>13</v>
      </c>
      <c r="D429" t="s">
        <v>30</v>
      </c>
      <c r="E429" t="s">
        <v>589</v>
      </c>
      <c r="F429" t="s">
        <v>32</v>
      </c>
      <c r="G429" t="str">
        <f>"00076670595"</f>
        <v>00076670595</v>
      </c>
      <c r="I429" t="s">
        <v>104</v>
      </c>
      <c r="L429" t="s">
        <v>34</v>
      </c>
      <c r="M429">
        <v>38400</v>
      </c>
      <c r="N429">
        <v>38400</v>
      </c>
      <c r="AC429" t="s">
        <v>41</v>
      </c>
    </row>
    <row r="430" spans="1:29" ht="12.75">
      <c r="A430" t="str">
        <f>"659770131A"</f>
        <v>659770131A</v>
      </c>
      <c r="B430" t="str">
        <f>"02406911202"</f>
        <v>02406911202</v>
      </c>
      <c r="C430" t="s">
        <v>13</v>
      </c>
      <c r="D430" t="s">
        <v>30</v>
      </c>
      <c r="E430" t="s">
        <v>590</v>
      </c>
      <c r="F430" t="s">
        <v>32</v>
      </c>
      <c r="G430" t="str">
        <f>"02143930150"</f>
        <v>02143930150</v>
      </c>
      <c r="I430" t="s">
        <v>591</v>
      </c>
      <c r="L430" t="s">
        <v>34</v>
      </c>
      <c r="M430">
        <v>38288</v>
      </c>
      <c r="Q430">
        <v>38288</v>
      </c>
      <c r="AC430" t="s">
        <v>41</v>
      </c>
    </row>
    <row r="431" spans="1:29" ht="12.75">
      <c r="A431" t="str">
        <f>"6562985A8B"</f>
        <v>6562985A8B</v>
      </c>
      <c r="B431" t="str">
        <f>"02406911202"</f>
        <v>02406911202</v>
      </c>
      <c r="C431" t="s">
        <v>13</v>
      </c>
      <c r="D431" t="s">
        <v>30</v>
      </c>
      <c r="E431" t="s">
        <v>592</v>
      </c>
      <c r="F431" t="s">
        <v>32</v>
      </c>
      <c r="G431" t="str">
        <f>"10994940152"</f>
        <v>10994940152</v>
      </c>
      <c r="I431" t="s">
        <v>257</v>
      </c>
      <c r="L431" t="s">
        <v>34</v>
      </c>
      <c r="M431">
        <v>72800</v>
      </c>
      <c r="N431">
        <v>32800</v>
      </c>
      <c r="P431">
        <v>40000</v>
      </c>
      <c r="AC431" t="s">
        <v>41</v>
      </c>
    </row>
    <row r="432" spans="1:29" ht="12.75">
      <c r="A432" t="str">
        <f>"6563924171"</f>
        <v>6563924171</v>
      </c>
      <c r="B432" t="str">
        <f>"02406911202"</f>
        <v>02406911202</v>
      </c>
      <c r="C432" t="s">
        <v>13</v>
      </c>
      <c r="D432" t="s">
        <v>30</v>
      </c>
      <c r="E432" t="s">
        <v>592</v>
      </c>
      <c r="F432" t="s">
        <v>32</v>
      </c>
      <c r="G432" t="str">
        <f>"04156880371"</f>
        <v>04156880371</v>
      </c>
      <c r="I432" t="s">
        <v>593</v>
      </c>
      <c r="L432" t="s">
        <v>34</v>
      </c>
      <c r="M432">
        <v>36000</v>
      </c>
      <c r="N432">
        <v>30000</v>
      </c>
      <c r="P432">
        <v>6000</v>
      </c>
      <c r="AC432" t="s">
        <v>41</v>
      </c>
    </row>
    <row r="433" spans="1:29" ht="12.75">
      <c r="A433" t="str">
        <f>"6609566269"</f>
        <v>6609566269</v>
      </c>
      <c r="B433" t="str">
        <f>"02406911202"</f>
        <v>02406911202</v>
      </c>
      <c r="C433" t="s">
        <v>13</v>
      </c>
      <c r="D433" t="s">
        <v>30</v>
      </c>
      <c r="E433" t="s">
        <v>592</v>
      </c>
      <c r="F433" t="s">
        <v>32</v>
      </c>
      <c r="G433" t="str">
        <f>"01889110209"</f>
        <v>01889110209</v>
      </c>
      <c r="I433" t="s">
        <v>594</v>
      </c>
      <c r="L433" t="s">
        <v>34</v>
      </c>
      <c r="M433">
        <v>25370</v>
      </c>
      <c r="N433">
        <v>9840</v>
      </c>
      <c r="P433">
        <v>15530</v>
      </c>
      <c r="AC433" t="s">
        <v>41</v>
      </c>
    </row>
    <row r="434" spans="1:29" ht="12.75">
      <c r="A434" t="str">
        <f>"65978226F3"</f>
        <v>65978226F3</v>
      </c>
      <c r="B434" t="str">
        <f>"02406911202"</f>
        <v>02406911202</v>
      </c>
      <c r="C434" t="s">
        <v>13</v>
      </c>
      <c r="D434" t="s">
        <v>30</v>
      </c>
      <c r="E434" t="s">
        <v>595</v>
      </c>
      <c r="F434" t="s">
        <v>32</v>
      </c>
      <c r="G434" t="str">
        <f>"11030881004"</f>
        <v>11030881004</v>
      </c>
      <c r="I434" t="s">
        <v>596</v>
      </c>
      <c r="L434" t="s">
        <v>91</v>
      </c>
      <c r="AC434" t="s">
        <v>41</v>
      </c>
    </row>
    <row r="435" spans="1:29" ht="12.75">
      <c r="A435" t="str">
        <f>"65978226F3"</f>
        <v>65978226F3</v>
      </c>
      <c r="B435" t="str">
        <f>"02406911202"</f>
        <v>02406911202</v>
      </c>
      <c r="C435" t="s">
        <v>13</v>
      </c>
      <c r="D435" t="s">
        <v>30</v>
      </c>
      <c r="E435" t="s">
        <v>595</v>
      </c>
      <c r="F435" t="s">
        <v>32</v>
      </c>
      <c r="G435" t="str">
        <f>"GRSSBN43S16B619X"</f>
        <v>GRSSBN43S16B619X</v>
      </c>
      <c r="I435" t="s">
        <v>571</v>
      </c>
      <c r="L435" t="s">
        <v>91</v>
      </c>
      <c r="AC435" t="s">
        <v>41</v>
      </c>
    </row>
    <row r="436" spans="1:29" ht="12.75">
      <c r="A436" t="str">
        <f>"65978226F3"</f>
        <v>65978226F3</v>
      </c>
      <c r="B436" t="str">
        <f>"02406911202"</f>
        <v>02406911202</v>
      </c>
      <c r="C436" t="s">
        <v>13</v>
      </c>
      <c r="D436" t="s">
        <v>30</v>
      </c>
      <c r="E436" t="s">
        <v>595</v>
      </c>
      <c r="F436" t="s">
        <v>32</v>
      </c>
      <c r="G436" t="str">
        <f>"02753831201"</f>
        <v>02753831201</v>
      </c>
      <c r="I436" t="s">
        <v>597</v>
      </c>
      <c r="L436" t="s">
        <v>91</v>
      </c>
      <c r="AC436" t="s">
        <v>41</v>
      </c>
    </row>
    <row r="437" spans="1:29" ht="12.75">
      <c r="A437" t="str">
        <f>"65978226F3"</f>
        <v>65978226F3</v>
      </c>
      <c r="B437" t="str">
        <f>"02406911202"</f>
        <v>02406911202</v>
      </c>
      <c r="C437" t="s">
        <v>13</v>
      </c>
      <c r="D437" t="s">
        <v>30</v>
      </c>
      <c r="E437" t="s">
        <v>595</v>
      </c>
      <c r="F437" t="s">
        <v>32</v>
      </c>
      <c r="G437" t="str">
        <f>"02528900398"</f>
        <v>02528900398</v>
      </c>
      <c r="I437" t="s">
        <v>598</v>
      </c>
      <c r="L437" t="s">
        <v>91</v>
      </c>
      <c r="AC437" t="s">
        <v>41</v>
      </c>
    </row>
    <row r="438" spans="1:29" ht="12.75">
      <c r="A438" t="str">
        <f>"65978226F3"</f>
        <v>65978226F3</v>
      </c>
      <c r="B438" t="str">
        <f>"02406911202"</f>
        <v>02406911202</v>
      </c>
      <c r="C438" t="s">
        <v>13</v>
      </c>
      <c r="D438" t="s">
        <v>30</v>
      </c>
      <c r="E438" t="s">
        <v>595</v>
      </c>
      <c r="F438" t="s">
        <v>32</v>
      </c>
      <c r="G438" t="str">
        <f>"01541521207"</f>
        <v>01541521207</v>
      </c>
      <c r="I438" t="s">
        <v>599</v>
      </c>
      <c r="L438" t="s">
        <v>91</v>
      </c>
      <c r="AC438" t="s">
        <v>41</v>
      </c>
    </row>
    <row r="439" spans="1:29" ht="12.75">
      <c r="A439" t="str">
        <f>"6597838428"</f>
        <v>6597838428</v>
      </c>
      <c r="B439" t="str">
        <f>"02406911202"</f>
        <v>02406911202</v>
      </c>
      <c r="C439" t="s">
        <v>13</v>
      </c>
      <c r="D439" t="s">
        <v>30</v>
      </c>
      <c r="E439" t="s">
        <v>600</v>
      </c>
      <c r="F439" t="s">
        <v>32</v>
      </c>
      <c r="G439" t="str">
        <f>"11030881004"</f>
        <v>11030881004</v>
      </c>
      <c r="I439" t="s">
        <v>596</v>
      </c>
      <c r="L439" t="s">
        <v>91</v>
      </c>
      <c r="AC439" t="s">
        <v>41</v>
      </c>
    </row>
    <row r="440" spans="1:29" ht="12.75">
      <c r="A440" t="str">
        <f>"6597838428"</f>
        <v>6597838428</v>
      </c>
      <c r="B440" t="str">
        <f>"02406911202"</f>
        <v>02406911202</v>
      </c>
      <c r="C440" t="s">
        <v>13</v>
      </c>
      <c r="D440" t="s">
        <v>30</v>
      </c>
      <c r="E440" t="s">
        <v>600</v>
      </c>
      <c r="F440" t="s">
        <v>32</v>
      </c>
      <c r="G440" t="str">
        <f>"GRSSBN43S16B619X"</f>
        <v>GRSSBN43S16B619X</v>
      </c>
      <c r="I440" t="s">
        <v>571</v>
      </c>
      <c r="L440" t="s">
        <v>91</v>
      </c>
      <c r="AC440" t="s">
        <v>41</v>
      </c>
    </row>
    <row r="441" spans="1:29" ht="12.75">
      <c r="A441" t="str">
        <f>"6597838428"</f>
        <v>6597838428</v>
      </c>
      <c r="B441" t="str">
        <f>"02406911202"</f>
        <v>02406911202</v>
      </c>
      <c r="C441" t="s">
        <v>13</v>
      </c>
      <c r="D441" t="s">
        <v>30</v>
      </c>
      <c r="E441" t="s">
        <v>600</v>
      </c>
      <c r="F441" t="s">
        <v>32</v>
      </c>
      <c r="G441" t="str">
        <f>"02753831201"</f>
        <v>02753831201</v>
      </c>
      <c r="I441" t="s">
        <v>597</v>
      </c>
      <c r="L441" t="s">
        <v>91</v>
      </c>
      <c r="AC441" t="s">
        <v>41</v>
      </c>
    </row>
    <row r="442" spans="1:29" ht="12.75">
      <c r="A442" t="str">
        <f>"6597838428"</f>
        <v>6597838428</v>
      </c>
      <c r="B442" t="str">
        <f>"02406911202"</f>
        <v>02406911202</v>
      </c>
      <c r="C442" t="s">
        <v>13</v>
      </c>
      <c r="D442" t="s">
        <v>30</v>
      </c>
      <c r="E442" t="s">
        <v>600</v>
      </c>
      <c r="F442" t="s">
        <v>32</v>
      </c>
      <c r="G442" t="str">
        <f>"02528900398"</f>
        <v>02528900398</v>
      </c>
      <c r="I442" t="s">
        <v>598</v>
      </c>
      <c r="L442" t="s">
        <v>91</v>
      </c>
      <c r="AC442" t="s">
        <v>41</v>
      </c>
    </row>
    <row r="443" spans="1:29" ht="12.75">
      <c r="A443" t="str">
        <f>"6597838428"</f>
        <v>6597838428</v>
      </c>
      <c r="B443" t="str">
        <f>"02406911202"</f>
        <v>02406911202</v>
      </c>
      <c r="C443" t="s">
        <v>13</v>
      </c>
      <c r="D443" t="s">
        <v>30</v>
      </c>
      <c r="E443" t="s">
        <v>600</v>
      </c>
      <c r="F443" t="s">
        <v>32</v>
      </c>
      <c r="G443" t="str">
        <f>"01541521207"</f>
        <v>01541521207</v>
      </c>
      <c r="I443" t="s">
        <v>599</v>
      </c>
      <c r="L443" t="s">
        <v>91</v>
      </c>
      <c r="AC443" t="s">
        <v>41</v>
      </c>
    </row>
    <row r="444" spans="1:29" ht="12.75">
      <c r="A444" t="str">
        <f>"65978584A9"</f>
        <v>65978584A9</v>
      </c>
      <c r="B444" t="str">
        <f>"02406911202"</f>
        <v>02406911202</v>
      </c>
      <c r="C444" t="s">
        <v>13</v>
      </c>
      <c r="D444" t="s">
        <v>30</v>
      </c>
      <c r="E444" t="s">
        <v>601</v>
      </c>
      <c r="F444" t="s">
        <v>32</v>
      </c>
      <c r="G444" t="str">
        <f>"11030881004"</f>
        <v>11030881004</v>
      </c>
      <c r="I444" t="s">
        <v>596</v>
      </c>
      <c r="L444" t="s">
        <v>91</v>
      </c>
      <c r="AC444" t="s">
        <v>41</v>
      </c>
    </row>
    <row r="445" spans="1:29" ht="12.75">
      <c r="A445" t="str">
        <f>"65978584A9"</f>
        <v>65978584A9</v>
      </c>
      <c r="B445" t="str">
        <f>"02406911202"</f>
        <v>02406911202</v>
      </c>
      <c r="C445" t="s">
        <v>13</v>
      </c>
      <c r="D445" t="s">
        <v>30</v>
      </c>
      <c r="E445" t="s">
        <v>601</v>
      </c>
      <c r="F445" t="s">
        <v>32</v>
      </c>
      <c r="G445" t="str">
        <f>"GRSSBN43S16B619X"</f>
        <v>GRSSBN43S16B619X</v>
      </c>
      <c r="I445" t="s">
        <v>571</v>
      </c>
      <c r="L445" t="s">
        <v>91</v>
      </c>
      <c r="AC445" t="s">
        <v>41</v>
      </c>
    </row>
    <row r="446" spans="1:29" ht="12.75">
      <c r="A446" t="str">
        <f>"65978584A9"</f>
        <v>65978584A9</v>
      </c>
      <c r="B446" t="str">
        <f>"02406911202"</f>
        <v>02406911202</v>
      </c>
      <c r="C446" t="s">
        <v>13</v>
      </c>
      <c r="D446" t="s">
        <v>30</v>
      </c>
      <c r="E446" t="s">
        <v>601</v>
      </c>
      <c r="F446" t="s">
        <v>32</v>
      </c>
      <c r="G446" t="str">
        <f>"02753831201"</f>
        <v>02753831201</v>
      </c>
      <c r="I446" t="s">
        <v>597</v>
      </c>
      <c r="L446" t="s">
        <v>91</v>
      </c>
      <c r="AC446" t="s">
        <v>41</v>
      </c>
    </row>
    <row r="447" spans="1:29" ht="12.75">
      <c r="A447" t="str">
        <f>"65978584A9"</f>
        <v>65978584A9</v>
      </c>
      <c r="B447" t="str">
        <f>"02406911202"</f>
        <v>02406911202</v>
      </c>
      <c r="C447" t="s">
        <v>13</v>
      </c>
      <c r="D447" t="s">
        <v>30</v>
      </c>
      <c r="E447" t="s">
        <v>601</v>
      </c>
      <c r="F447" t="s">
        <v>32</v>
      </c>
      <c r="G447" t="str">
        <f>"02528900398"</f>
        <v>02528900398</v>
      </c>
      <c r="I447" t="s">
        <v>598</v>
      </c>
      <c r="L447" t="s">
        <v>91</v>
      </c>
      <c r="AC447" t="s">
        <v>41</v>
      </c>
    </row>
    <row r="448" spans="1:29" ht="12.75">
      <c r="A448" t="str">
        <f>"65978584A9"</f>
        <v>65978584A9</v>
      </c>
      <c r="B448" t="str">
        <f>"02406911202"</f>
        <v>02406911202</v>
      </c>
      <c r="C448" t="s">
        <v>13</v>
      </c>
      <c r="D448" t="s">
        <v>30</v>
      </c>
      <c r="E448" t="s">
        <v>601</v>
      </c>
      <c r="F448" t="s">
        <v>32</v>
      </c>
      <c r="G448" t="str">
        <f>"01541521207"</f>
        <v>01541521207</v>
      </c>
      <c r="I448" t="s">
        <v>599</v>
      </c>
      <c r="L448" t="s">
        <v>91</v>
      </c>
      <c r="AC448" t="s">
        <v>41</v>
      </c>
    </row>
    <row r="449" spans="1:29" ht="12.75">
      <c r="A449" t="str">
        <f>"6597861722"</f>
        <v>6597861722</v>
      </c>
      <c r="B449" t="str">
        <f>"02406911202"</f>
        <v>02406911202</v>
      </c>
      <c r="C449" t="s">
        <v>13</v>
      </c>
      <c r="D449" t="s">
        <v>30</v>
      </c>
      <c r="E449" t="s">
        <v>602</v>
      </c>
      <c r="F449" t="s">
        <v>32</v>
      </c>
      <c r="G449" t="str">
        <f>"11030881004"</f>
        <v>11030881004</v>
      </c>
      <c r="I449" t="s">
        <v>596</v>
      </c>
      <c r="L449" t="s">
        <v>91</v>
      </c>
      <c r="AC449" t="s">
        <v>41</v>
      </c>
    </row>
    <row r="450" spans="1:29" ht="12.75">
      <c r="A450" t="str">
        <f>"6597861722"</f>
        <v>6597861722</v>
      </c>
      <c r="B450" t="str">
        <f>"02406911202"</f>
        <v>02406911202</v>
      </c>
      <c r="C450" t="s">
        <v>13</v>
      </c>
      <c r="D450" t="s">
        <v>30</v>
      </c>
      <c r="E450" t="s">
        <v>602</v>
      </c>
      <c r="F450" t="s">
        <v>32</v>
      </c>
      <c r="G450" t="str">
        <f>"GRSSBN43S16B619X"</f>
        <v>GRSSBN43S16B619X</v>
      </c>
      <c r="I450" t="s">
        <v>571</v>
      </c>
      <c r="L450" t="s">
        <v>91</v>
      </c>
      <c r="AC450" t="s">
        <v>41</v>
      </c>
    </row>
    <row r="451" spans="1:29" ht="12.75">
      <c r="A451" t="str">
        <f>"6597861722"</f>
        <v>6597861722</v>
      </c>
      <c r="B451" t="str">
        <f>"02406911202"</f>
        <v>02406911202</v>
      </c>
      <c r="C451" t="s">
        <v>13</v>
      </c>
      <c r="D451" t="s">
        <v>30</v>
      </c>
      <c r="E451" t="s">
        <v>602</v>
      </c>
      <c r="F451" t="s">
        <v>32</v>
      </c>
      <c r="G451" t="str">
        <f>"02753831201"</f>
        <v>02753831201</v>
      </c>
      <c r="I451" t="s">
        <v>597</v>
      </c>
      <c r="L451" t="s">
        <v>91</v>
      </c>
      <c r="AC451" t="s">
        <v>41</v>
      </c>
    </row>
    <row r="452" spans="1:29" ht="12.75">
      <c r="A452" t="str">
        <f>"6597861722"</f>
        <v>6597861722</v>
      </c>
      <c r="B452" t="str">
        <f>"02406911202"</f>
        <v>02406911202</v>
      </c>
      <c r="C452" t="s">
        <v>13</v>
      </c>
      <c r="D452" t="s">
        <v>30</v>
      </c>
      <c r="E452" t="s">
        <v>602</v>
      </c>
      <c r="F452" t="s">
        <v>32</v>
      </c>
      <c r="G452" t="str">
        <f>"02528900398"</f>
        <v>02528900398</v>
      </c>
      <c r="I452" t="s">
        <v>598</v>
      </c>
      <c r="L452" t="s">
        <v>91</v>
      </c>
      <c r="AC452" t="s">
        <v>41</v>
      </c>
    </row>
    <row r="453" spans="1:29" ht="12.75">
      <c r="A453" t="str">
        <f>"6597861722"</f>
        <v>6597861722</v>
      </c>
      <c r="B453" t="str">
        <f>"02406911202"</f>
        <v>02406911202</v>
      </c>
      <c r="C453" t="s">
        <v>13</v>
      </c>
      <c r="D453" t="s">
        <v>30</v>
      </c>
      <c r="E453" t="s">
        <v>602</v>
      </c>
      <c r="F453" t="s">
        <v>32</v>
      </c>
      <c r="G453" t="str">
        <f>"01541521207"</f>
        <v>01541521207</v>
      </c>
      <c r="I453" t="s">
        <v>599</v>
      </c>
      <c r="L453" t="s">
        <v>34</v>
      </c>
      <c r="M453">
        <v>27000</v>
      </c>
      <c r="N453">
        <v>27000</v>
      </c>
      <c r="AC453" t="s">
        <v>41</v>
      </c>
    </row>
    <row r="454" spans="1:29" ht="12.75">
      <c r="A454" t="str">
        <f>"6597876384"</f>
        <v>6597876384</v>
      </c>
      <c r="B454" t="str">
        <f>"02406911202"</f>
        <v>02406911202</v>
      </c>
      <c r="C454" t="s">
        <v>13</v>
      </c>
      <c r="D454" t="s">
        <v>30</v>
      </c>
      <c r="E454" t="s">
        <v>603</v>
      </c>
      <c r="F454" t="s">
        <v>32</v>
      </c>
      <c r="G454" t="str">
        <f>"11030881004"</f>
        <v>11030881004</v>
      </c>
      <c r="I454" t="s">
        <v>596</v>
      </c>
      <c r="L454" t="s">
        <v>91</v>
      </c>
      <c r="AC454" t="s">
        <v>41</v>
      </c>
    </row>
    <row r="455" spans="1:29" ht="12.75">
      <c r="A455" t="str">
        <f>"6597876384"</f>
        <v>6597876384</v>
      </c>
      <c r="B455" t="str">
        <f>"02406911202"</f>
        <v>02406911202</v>
      </c>
      <c r="C455" t="s">
        <v>13</v>
      </c>
      <c r="D455" t="s">
        <v>30</v>
      </c>
      <c r="E455" t="s">
        <v>603</v>
      </c>
      <c r="F455" t="s">
        <v>32</v>
      </c>
      <c r="G455" t="str">
        <f>"GRSSBN43S16B619X"</f>
        <v>GRSSBN43S16B619X</v>
      </c>
      <c r="I455" t="s">
        <v>571</v>
      </c>
      <c r="L455" t="s">
        <v>91</v>
      </c>
      <c r="AC455" t="s">
        <v>41</v>
      </c>
    </row>
    <row r="456" spans="1:29" ht="12.75">
      <c r="A456" t="str">
        <f>"6597876384"</f>
        <v>6597876384</v>
      </c>
      <c r="B456" t="str">
        <f>"02406911202"</f>
        <v>02406911202</v>
      </c>
      <c r="C456" t="s">
        <v>13</v>
      </c>
      <c r="D456" t="s">
        <v>30</v>
      </c>
      <c r="E456" t="s">
        <v>603</v>
      </c>
      <c r="F456" t="s">
        <v>32</v>
      </c>
      <c r="G456" t="str">
        <f>"02753831201"</f>
        <v>02753831201</v>
      </c>
      <c r="I456" t="s">
        <v>597</v>
      </c>
      <c r="L456" t="s">
        <v>91</v>
      </c>
      <c r="AC456" t="s">
        <v>41</v>
      </c>
    </row>
    <row r="457" spans="1:29" ht="12.75">
      <c r="A457" t="str">
        <f>"6597876384"</f>
        <v>6597876384</v>
      </c>
      <c r="B457" t="str">
        <f>"02406911202"</f>
        <v>02406911202</v>
      </c>
      <c r="C457" t="s">
        <v>13</v>
      </c>
      <c r="D457" t="s">
        <v>30</v>
      </c>
      <c r="E457" t="s">
        <v>603</v>
      </c>
      <c r="F457" t="s">
        <v>32</v>
      </c>
      <c r="G457" t="str">
        <f>"02528900398"</f>
        <v>02528900398</v>
      </c>
      <c r="I457" t="s">
        <v>598</v>
      </c>
      <c r="L457" t="s">
        <v>91</v>
      </c>
      <c r="AC457" t="s">
        <v>41</v>
      </c>
    </row>
    <row r="458" spans="1:29" ht="12.75">
      <c r="A458" t="str">
        <f>"6597876384"</f>
        <v>6597876384</v>
      </c>
      <c r="B458" t="str">
        <f>"02406911202"</f>
        <v>02406911202</v>
      </c>
      <c r="C458" t="s">
        <v>13</v>
      </c>
      <c r="D458" t="s">
        <v>30</v>
      </c>
      <c r="E458" t="s">
        <v>603</v>
      </c>
      <c r="F458" t="s">
        <v>32</v>
      </c>
      <c r="G458" t="str">
        <f>"01541521207"</f>
        <v>01541521207</v>
      </c>
      <c r="I458" t="s">
        <v>599</v>
      </c>
      <c r="L458" t="s">
        <v>91</v>
      </c>
      <c r="AC458" t="s">
        <v>41</v>
      </c>
    </row>
    <row r="459" spans="1:29" ht="12.75">
      <c r="A459" t="str">
        <f>"65979207D2"</f>
        <v>65979207D2</v>
      </c>
      <c r="B459" t="str">
        <f>"02406911202"</f>
        <v>02406911202</v>
      </c>
      <c r="C459" t="s">
        <v>13</v>
      </c>
      <c r="D459" t="s">
        <v>30</v>
      </c>
      <c r="E459" t="s">
        <v>604</v>
      </c>
      <c r="F459" t="s">
        <v>32</v>
      </c>
      <c r="G459" t="str">
        <f>"11030881004"</f>
        <v>11030881004</v>
      </c>
      <c r="I459" t="s">
        <v>596</v>
      </c>
      <c r="L459" t="s">
        <v>91</v>
      </c>
      <c r="AC459" t="s">
        <v>41</v>
      </c>
    </row>
    <row r="460" spans="1:29" ht="12.75">
      <c r="A460" t="str">
        <f>"65979207D2"</f>
        <v>65979207D2</v>
      </c>
      <c r="B460" t="str">
        <f>"02406911202"</f>
        <v>02406911202</v>
      </c>
      <c r="C460" t="s">
        <v>13</v>
      </c>
      <c r="D460" t="s">
        <v>30</v>
      </c>
      <c r="E460" t="s">
        <v>604</v>
      </c>
      <c r="F460" t="s">
        <v>32</v>
      </c>
      <c r="G460" t="str">
        <f>"GRSSBN43S16B619X"</f>
        <v>GRSSBN43S16B619X</v>
      </c>
      <c r="I460" t="s">
        <v>571</v>
      </c>
      <c r="L460" t="s">
        <v>91</v>
      </c>
      <c r="AC460" t="s">
        <v>41</v>
      </c>
    </row>
    <row r="461" spans="1:29" ht="12.75">
      <c r="A461" t="str">
        <f>"65979207D2"</f>
        <v>65979207D2</v>
      </c>
      <c r="B461" t="str">
        <f>"02406911202"</f>
        <v>02406911202</v>
      </c>
      <c r="C461" t="s">
        <v>13</v>
      </c>
      <c r="D461" t="s">
        <v>30</v>
      </c>
      <c r="E461" t="s">
        <v>604</v>
      </c>
      <c r="F461" t="s">
        <v>32</v>
      </c>
      <c r="G461" t="str">
        <f>"02753831201"</f>
        <v>02753831201</v>
      </c>
      <c r="I461" t="s">
        <v>597</v>
      </c>
      <c r="L461" t="s">
        <v>91</v>
      </c>
      <c r="AC461" t="s">
        <v>41</v>
      </c>
    </row>
    <row r="462" spans="1:29" ht="12.75">
      <c r="A462" t="str">
        <f>"65979207D2"</f>
        <v>65979207D2</v>
      </c>
      <c r="B462" t="str">
        <f>"02406911202"</f>
        <v>02406911202</v>
      </c>
      <c r="C462" t="s">
        <v>13</v>
      </c>
      <c r="D462" t="s">
        <v>30</v>
      </c>
      <c r="E462" t="s">
        <v>604</v>
      </c>
      <c r="F462" t="s">
        <v>32</v>
      </c>
      <c r="G462" t="str">
        <f>"02528900398"</f>
        <v>02528900398</v>
      </c>
      <c r="I462" t="s">
        <v>598</v>
      </c>
      <c r="L462" t="s">
        <v>34</v>
      </c>
      <c r="M462">
        <v>75000</v>
      </c>
      <c r="P462">
        <v>75000</v>
      </c>
      <c r="AC462" t="s">
        <v>41</v>
      </c>
    </row>
    <row r="463" spans="1:29" ht="12.75">
      <c r="A463" t="str">
        <f>"65979207D2"</f>
        <v>65979207D2</v>
      </c>
      <c r="B463" t="str">
        <f>"02406911202"</f>
        <v>02406911202</v>
      </c>
      <c r="C463" t="s">
        <v>13</v>
      </c>
      <c r="D463" t="s">
        <v>30</v>
      </c>
      <c r="E463" t="s">
        <v>604</v>
      </c>
      <c r="F463" t="s">
        <v>32</v>
      </c>
      <c r="G463" t="str">
        <f>"01541521207"</f>
        <v>01541521207</v>
      </c>
      <c r="I463" t="s">
        <v>599</v>
      </c>
      <c r="L463" t="s">
        <v>91</v>
      </c>
      <c r="AC463" t="s">
        <v>41</v>
      </c>
    </row>
    <row r="464" spans="1:29" ht="12.75">
      <c r="A464" t="str">
        <f>"66672851A3"</f>
        <v>66672851A3</v>
      </c>
      <c r="B464" t="str">
        <f>"02406911202"</f>
        <v>02406911202</v>
      </c>
      <c r="C464" t="s">
        <v>13</v>
      </c>
      <c r="D464" t="s">
        <v>30</v>
      </c>
      <c r="E464" t="s">
        <v>605</v>
      </c>
      <c r="F464" t="s">
        <v>32</v>
      </c>
      <c r="G464" t="str">
        <f>"01681100150"</f>
        <v>01681100150</v>
      </c>
      <c r="I464" t="s">
        <v>606</v>
      </c>
      <c r="L464" t="s">
        <v>34</v>
      </c>
      <c r="M464">
        <v>115479</v>
      </c>
      <c r="N464">
        <v>71442</v>
      </c>
      <c r="O464">
        <v>31185</v>
      </c>
      <c r="P464">
        <v>882</v>
      </c>
      <c r="Q464">
        <v>2205</v>
      </c>
      <c r="R464">
        <v>4410</v>
      </c>
      <c r="S464">
        <v>5355</v>
      </c>
      <c r="AC464" t="s">
        <v>41</v>
      </c>
    </row>
    <row r="465" spans="1:29" ht="12.75">
      <c r="A465" t="str">
        <f>"6667494E18"</f>
        <v>6667494E18</v>
      </c>
      <c r="B465" t="str">
        <f>"02406911202"</f>
        <v>02406911202</v>
      </c>
      <c r="C465" t="s">
        <v>13</v>
      </c>
      <c r="D465" t="s">
        <v>30</v>
      </c>
      <c r="E465" t="s">
        <v>607</v>
      </c>
      <c r="F465" t="s">
        <v>32</v>
      </c>
      <c r="G465" t="str">
        <f>"11206730159"</f>
        <v>11206730159</v>
      </c>
      <c r="I465" t="s">
        <v>65</v>
      </c>
      <c r="L465" t="s">
        <v>34</v>
      </c>
      <c r="M465">
        <v>95750</v>
      </c>
      <c r="N465">
        <v>70000</v>
      </c>
      <c r="O465">
        <v>25750</v>
      </c>
      <c r="AC465" t="s">
        <v>41</v>
      </c>
    </row>
    <row r="466" spans="1:29" ht="12.75">
      <c r="A466" t="str">
        <f>"66062176B9"</f>
        <v>66062176B9</v>
      </c>
      <c r="B466" t="str">
        <f>"02406911202"</f>
        <v>02406911202</v>
      </c>
      <c r="C466" t="s">
        <v>13</v>
      </c>
      <c r="D466" t="s">
        <v>30</v>
      </c>
      <c r="E466" t="s">
        <v>608</v>
      </c>
      <c r="F466" t="s">
        <v>32</v>
      </c>
      <c r="G466" t="str">
        <f>"02173800281"</f>
        <v>02173800281</v>
      </c>
      <c r="I466" t="s">
        <v>609</v>
      </c>
      <c r="L466" t="s">
        <v>34</v>
      </c>
      <c r="M466">
        <v>111197</v>
      </c>
      <c r="N466">
        <v>74880</v>
      </c>
      <c r="O466">
        <v>13104</v>
      </c>
      <c r="P466">
        <v>22464</v>
      </c>
      <c r="Q466">
        <v>749</v>
      </c>
      <c r="AC466" t="s">
        <v>41</v>
      </c>
    </row>
    <row r="467" spans="1:29" ht="12.75">
      <c r="A467" t="str">
        <f>"66062176B9"</f>
        <v>66062176B9</v>
      </c>
      <c r="B467" t="str">
        <f>"02406911202"</f>
        <v>02406911202</v>
      </c>
      <c r="C467" t="s">
        <v>13</v>
      </c>
      <c r="D467" t="s">
        <v>30</v>
      </c>
      <c r="E467" t="s">
        <v>608</v>
      </c>
      <c r="F467" t="s">
        <v>32</v>
      </c>
      <c r="G467" t="str">
        <f>"01857820284"</f>
        <v>01857820284</v>
      </c>
      <c r="I467" t="s">
        <v>575</v>
      </c>
      <c r="L467" t="s">
        <v>91</v>
      </c>
      <c r="AC467" t="s">
        <v>41</v>
      </c>
    </row>
    <row r="468" spans="1:29" ht="12.75">
      <c r="A468" t="str">
        <f>"66062176B9"</f>
        <v>66062176B9</v>
      </c>
      <c r="B468" t="str">
        <f>"02406911202"</f>
        <v>02406911202</v>
      </c>
      <c r="C468" t="s">
        <v>13</v>
      </c>
      <c r="D468" t="s">
        <v>30</v>
      </c>
      <c r="E468" t="s">
        <v>608</v>
      </c>
      <c r="F468" t="s">
        <v>32</v>
      </c>
      <c r="G468" t="str">
        <f>"00805390283"</f>
        <v>00805390283</v>
      </c>
      <c r="I468" t="s">
        <v>415</v>
      </c>
      <c r="L468" t="s">
        <v>91</v>
      </c>
      <c r="AC468" t="s">
        <v>41</v>
      </c>
    </row>
    <row r="469" spans="1:29" ht="12.75">
      <c r="A469" t="str">
        <f>"66062176B9"</f>
        <v>66062176B9</v>
      </c>
      <c r="B469" t="str">
        <f>"02406911202"</f>
        <v>02406911202</v>
      </c>
      <c r="C469" t="s">
        <v>13</v>
      </c>
      <c r="D469" t="s">
        <v>30</v>
      </c>
      <c r="E469" t="s">
        <v>608</v>
      </c>
      <c r="F469" t="s">
        <v>32</v>
      </c>
      <c r="G469" t="str">
        <f>"03450130285"</f>
        <v>03450130285</v>
      </c>
      <c r="I469" t="s">
        <v>351</v>
      </c>
      <c r="L469" t="s">
        <v>91</v>
      </c>
      <c r="AC469" t="s">
        <v>41</v>
      </c>
    </row>
    <row r="470" spans="1:29" ht="12.75">
      <c r="A470" t="str">
        <f>"6558550EAS"</f>
        <v>6558550EAS</v>
      </c>
      <c r="B470" t="str">
        <f>"02406911202"</f>
        <v>02406911202</v>
      </c>
      <c r="C470" t="s">
        <v>13</v>
      </c>
      <c r="D470" t="s">
        <v>30</v>
      </c>
      <c r="E470" t="s">
        <v>610</v>
      </c>
      <c r="F470" t="s">
        <v>32</v>
      </c>
      <c r="G470" t="str">
        <f>"08641790152"</f>
        <v>08641790152</v>
      </c>
      <c r="I470" t="s">
        <v>585</v>
      </c>
      <c r="L470" t="s">
        <v>34</v>
      </c>
      <c r="M470">
        <v>24000</v>
      </c>
      <c r="O470">
        <v>24000</v>
      </c>
      <c r="AC470" t="s">
        <v>41</v>
      </c>
    </row>
    <row r="471" spans="1:29" ht="12.75">
      <c r="A471" t="str">
        <f>"6558550EAS"</f>
        <v>6558550EAS</v>
      </c>
      <c r="B471" t="str">
        <f>"02406911202"</f>
        <v>02406911202</v>
      </c>
      <c r="C471" t="s">
        <v>13</v>
      </c>
      <c r="D471" t="s">
        <v>30</v>
      </c>
      <c r="E471" t="s">
        <v>610</v>
      </c>
      <c r="F471" t="s">
        <v>32</v>
      </c>
      <c r="G471" t="str">
        <f>"05067060011"</f>
        <v>05067060011</v>
      </c>
      <c r="I471" t="s">
        <v>611</v>
      </c>
      <c r="L471" t="s">
        <v>91</v>
      </c>
      <c r="AC471" t="s">
        <v>41</v>
      </c>
    </row>
    <row r="472" spans="1:29" ht="12.75">
      <c r="A472" t="str">
        <f>"6558550EAS"</f>
        <v>6558550EAS</v>
      </c>
      <c r="B472" t="str">
        <f>"02406911202"</f>
        <v>02406911202</v>
      </c>
      <c r="C472" t="s">
        <v>13</v>
      </c>
      <c r="D472" t="s">
        <v>30</v>
      </c>
      <c r="E472" t="s">
        <v>610</v>
      </c>
      <c r="F472" t="s">
        <v>32</v>
      </c>
      <c r="G472" t="str">
        <f>"01228210371"</f>
        <v>01228210371</v>
      </c>
      <c r="I472" t="s">
        <v>612</v>
      </c>
      <c r="L472" t="s">
        <v>91</v>
      </c>
      <c r="AC472" t="s">
        <v>41</v>
      </c>
    </row>
    <row r="473" spans="1:29" ht="12.75">
      <c r="A473" t="str">
        <f>"6558550EAS"</f>
        <v>6558550EAS</v>
      </c>
      <c r="B473" t="str">
        <f>"02406911202"</f>
        <v>02406911202</v>
      </c>
      <c r="C473" t="s">
        <v>13</v>
      </c>
      <c r="D473" t="s">
        <v>30</v>
      </c>
      <c r="E473" t="s">
        <v>610</v>
      </c>
      <c r="F473" t="s">
        <v>32</v>
      </c>
      <c r="G473" t="str">
        <f>"02503150373"</f>
        <v>02503150373</v>
      </c>
      <c r="I473" t="s">
        <v>613</v>
      </c>
      <c r="L473" t="s">
        <v>91</v>
      </c>
      <c r="AC473" t="s">
        <v>41</v>
      </c>
    </row>
    <row r="474" spans="1:29" ht="12.75">
      <c r="A474" t="str">
        <f>"6558550EAS"</f>
        <v>6558550EAS</v>
      </c>
      <c r="B474" t="str">
        <f>"02406911202"</f>
        <v>02406911202</v>
      </c>
      <c r="C474" t="s">
        <v>13</v>
      </c>
      <c r="D474" t="s">
        <v>30</v>
      </c>
      <c r="E474" t="s">
        <v>610</v>
      </c>
      <c r="F474" t="s">
        <v>32</v>
      </c>
      <c r="G474" t="str">
        <f>"02125550349"</f>
        <v>02125550349</v>
      </c>
      <c r="I474" t="s">
        <v>614</v>
      </c>
      <c r="L474" t="s">
        <v>91</v>
      </c>
      <c r="AC474" t="s">
        <v>41</v>
      </c>
    </row>
    <row r="475" spans="1:29" ht="12.75">
      <c r="A475" t="str">
        <f>"6558550EAS"</f>
        <v>6558550EAS</v>
      </c>
      <c r="B475" t="str">
        <f>"02406911202"</f>
        <v>02406911202</v>
      </c>
      <c r="C475" t="s">
        <v>13</v>
      </c>
      <c r="D475" t="s">
        <v>30</v>
      </c>
      <c r="E475" t="s">
        <v>610</v>
      </c>
      <c r="F475" t="s">
        <v>32</v>
      </c>
      <c r="G475" t="str">
        <f>"05424020963"</f>
        <v>05424020963</v>
      </c>
      <c r="I475" t="s">
        <v>615</v>
      </c>
      <c r="L475" t="s">
        <v>91</v>
      </c>
      <c r="AC475" t="s">
        <v>41</v>
      </c>
    </row>
    <row r="476" spans="1:29" ht="12.75">
      <c r="A476" t="str">
        <f>"65585774F4"</f>
        <v>65585774F4</v>
      </c>
      <c r="B476" t="str">
        <f>"02406911202"</f>
        <v>02406911202</v>
      </c>
      <c r="C476" t="s">
        <v>13</v>
      </c>
      <c r="D476" t="s">
        <v>30</v>
      </c>
      <c r="E476" t="s">
        <v>616</v>
      </c>
      <c r="F476" t="s">
        <v>32</v>
      </c>
      <c r="G476" t="str">
        <f>"02503150373"</f>
        <v>02503150373</v>
      </c>
      <c r="I476" t="s">
        <v>613</v>
      </c>
      <c r="L476" t="s">
        <v>34</v>
      </c>
      <c r="M476">
        <v>3150</v>
      </c>
      <c r="O476">
        <v>3150</v>
      </c>
      <c r="AC476" t="s">
        <v>41</v>
      </c>
    </row>
    <row r="477" spans="1:29" ht="12.75">
      <c r="A477" t="str">
        <f>"65585774F4"</f>
        <v>65585774F4</v>
      </c>
      <c r="B477" t="str">
        <f>"02406911202"</f>
        <v>02406911202</v>
      </c>
      <c r="C477" t="s">
        <v>13</v>
      </c>
      <c r="D477" t="s">
        <v>30</v>
      </c>
      <c r="E477" t="s">
        <v>616</v>
      </c>
      <c r="F477" t="s">
        <v>32</v>
      </c>
      <c r="G477" t="str">
        <f>"05067060011"</f>
        <v>05067060011</v>
      </c>
      <c r="I477" t="s">
        <v>611</v>
      </c>
      <c r="L477" t="s">
        <v>91</v>
      </c>
      <c r="AC477" t="s">
        <v>41</v>
      </c>
    </row>
    <row r="478" spans="1:29" ht="12.75">
      <c r="A478" t="str">
        <f>"65585774F4"</f>
        <v>65585774F4</v>
      </c>
      <c r="B478" t="str">
        <f>"02406911202"</f>
        <v>02406911202</v>
      </c>
      <c r="C478" t="s">
        <v>13</v>
      </c>
      <c r="D478" t="s">
        <v>30</v>
      </c>
      <c r="E478" t="s">
        <v>616</v>
      </c>
      <c r="F478" t="s">
        <v>32</v>
      </c>
      <c r="G478" t="str">
        <f>"01228210371"</f>
        <v>01228210371</v>
      </c>
      <c r="I478" t="s">
        <v>612</v>
      </c>
      <c r="L478" t="s">
        <v>91</v>
      </c>
      <c r="AC478" t="s">
        <v>41</v>
      </c>
    </row>
    <row r="479" spans="1:29" ht="12.75">
      <c r="A479" t="str">
        <f>"65585774F4"</f>
        <v>65585774F4</v>
      </c>
      <c r="B479" t="str">
        <f>"02406911202"</f>
        <v>02406911202</v>
      </c>
      <c r="C479" t="s">
        <v>13</v>
      </c>
      <c r="D479" t="s">
        <v>30</v>
      </c>
      <c r="E479" t="s">
        <v>616</v>
      </c>
      <c r="F479" t="s">
        <v>32</v>
      </c>
      <c r="G479" t="str">
        <f>"08641790152"</f>
        <v>08641790152</v>
      </c>
      <c r="I479" t="s">
        <v>585</v>
      </c>
      <c r="L479" t="s">
        <v>91</v>
      </c>
      <c r="AC479" t="s">
        <v>41</v>
      </c>
    </row>
    <row r="480" spans="1:29" ht="12.75">
      <c r="A480" t="str">
        <f>"65585774F4"</f>
        <v>65585774F4</v>
      </c>
      <c r="B480" t="str">
        <f>"02406911202"</f>
        <v>02406911202</v>
      </c>
      <c r="C480" t="s">
        <v>13</v>
      </c>
      <c r="D480" t="s">
        <v>30</v>
      </c>
      <c r="E480" t="s">
        <v>616</v>
      </c>
      <c r="F480" t="s">
        <v>32</v>
      </c>
      <c r="G480" t="str">
        <f>"02125550349"</f>
        <v>02125550349</v>
      </c>
      <c r="I480" t="s">
        <v>614</v>
      </c>
      <c r="L480" t="s">
        <v>91</v>
      </c>
      <c r="AC480" t="s">
        <v>41</v>
      </c>
    </row>
    <row r="481" spans="1:29" ht="12.75">
      <c r="A481" t="str">
        <f>"65585774F4"</f>
        <v>65585774F4</v>
      </c>
      <c r="B481" t="str">
        <f>"02406911202"</f>
        <v>02406911202</v>
      </c>
      <c r="C481" t="s">
        <v>13</v>
      </c>
      <c r="D481" t="s">
        <v>30</v>
      </c>
      <c r="E481" t="s">
        <v>616</v>
      </c>
      <c r="F481" t="s">
        <v>32</v>
      </c>
      <c r="G481" t="str">
        <f>"05424020963"</f>
        <v>05424020963</v>
      </c>
      <c r="I481" t="s">
        <v>615</v>
      </c>
      <c r="L481" t="s">
        <v>91</v>
      </c>
      <c r="AC481" t="s">
        <v>41</v>
      </c>
    </row>
    <row r="482" spans="1:29" ht="12.75">
      <c r="A482" t="str">
        <f>"667668813D"</f>
        <v>667668813D</v>
      </c>
      <c r="B482" t="str">
        <f>"02406911202"</f>
        <v>02406911202</v>
      </c>
      <c r="C482" t="s">
        <v>13</v>
      </c>
      <c r="D482" t="s">
        <v>30</v>
      </c>
      <c r="E482" t="s">
        <v>617</v>
      </c>
      <c r="F482" t="s">
        <v>32</v>
      </c>
      <c r="G482" t="str">
        <f>"11164410018"</f>
        <v>11164410018</v>
      </c>
      <c r="I482" t="s">
        <v>618</v>
      </c>
      <c r="L482" t="s">
        <v>34</v>
      </c>
      <c r="M482">
        <v>50864</v>
      </c>
      <c r="Q482">
        <v>50864</v>
      </c>
      <c r="AC482" t="s">
        <v>41</v>
      </c>
    </row>
    <row r="483" spans="1:29" ht="12.75">
      <c r="A483" t="str">
        <f>"6677899894"</f>
        <v>6677899894</v>
      </c>
      <c r="B483" t="str">
        <f>"02406911202"</f>
        <v>02406911202</v>
      </c>
      <c r="C483" t="s">
        <v>13</v>
      </c>
      <c r="D483" t="s">
        <v>30</v>
      </c>
      <c r="E483" t="s">
        <v>617</v>
      </c>
      <c r="F483" t="s">
        <v>32</v>
      </c>
      <c r="G483" t="str">
        <f>"11164410018"</f>
        <v>11164410018</v>
      </c>
      <c r="I483" t="s">
        <v>618</v>
      </c>
      <c r="L483" t="s">
        <v>34</v>
      </c>
      <c r="M483">
        <v>13550</v>
      </c>
      <c r="O483">
        <v>13550</v>
      </c>
      <c r="AC483" t="s">
        <v>41</v>
      </c>
    </row>
    <row r="484" spans="1:29" ht="12.75">
      <c r="A484" t="str">
        <f>"6680429069"</f>
        <v>6680429069</v>
      </c>
      <c r="B484" t="str">
        <f>"02406911202"</f>
        <v>02406911202</v>
      </c>
      <c r="C484" t="s">
        <v>13</v>
      </c>
      <c r="D484" t="s">
        <v>30</v>
      </c>
      <c r="E484" t="s">
        <v>619</v>
      </c>
      <c r="F484" t="s">
        <v>32</v>
      </c>
      <c r="G484" t="str">
        <f>"11206730159"</f>
        <v>11206730159</v>
      </c>
      <c r="I484" t="s">
        <v>65</v>
      </c>
      <c r="L484" t="s">
        <v>34</v>
      </c>
      <c r="M484">
        <v>151110</v>
      </c>
      <c r="N484">
        <v>51800</v>
      </c>
      <c r="S484">
        <v>99310</v>
      </c>
      <c r="AC484" t="s">
        <v>41</v>
      </c>
    </row>
    <row r="485" spans="1:29" ht="12.75">
      <c r="A485" t="str">
        <f>"668043555B"</f>
        <v>668043555B</v>
      </c>
      <c r="B485" t="str">
        <f>"02406911202"</f>
        <v>02406911202</v>
      </c>
      <c r="C485" t="s">
        <v>13</v>
      </c>
      <c r="D485" t="s">
        <v>30</v>
      </c>
      <c r="E485" t="s">
        <v>619</v>
      </c>
      <c r="F485" t="s">
        <v>32</v>
      </c>
      <c r="G485" t="str">
        <f>"08082461008"</f>
        <v>08082461008</v>
      </c>
      <c r="I485" t="s">
        <v>69</v>
      </c>
      <c r="L485" t="s">
        <v>34</v>
      </c>
      <c r="M485">
        <v>805450</v>
      </c>
      <c r="N485">
        <v>104500</v>
      </c>
      <c r="S485">
        <v>700950</v>
      </c>
      <c r="AC485" t="s">
        <v>41</v>
      </c>
    </row>
    <row r="486" spans="1:29" ht="12.75">
      <c r="A486" t="str">
        <f>"6680446E6C"</f>
        <v>6680446E6C</v>
      </c>
      <c r="B486" t="str">
        <f>"02406911202"</f>
        <v>02406911202</v>
      </c>
      <c r="C486" t="s">
        <v>13</v>
      </c>
      <c r="D486" t="s">
        <v>30</v>
      </c>
      <c r="E486" t="s">
        <v>619</v>
      </c>
      <c r="F486" t="s">
        <v>32</v>
      </c>
      <c r="G486" t="str">
        <f>"11206730159"</f>
        <v>11206730159</v>
      </c>
      <c r="I486" t="s">
        <v>65</v>
      </c>
      <c r="L486" t="s">
        <v>34</v>
      </c>
      <c r="M486">
        <v>230330</v>
      </c>
      <c r="N486">
        <v>173900</v>
      </c>
      <c r="R486">
        <v>12830</v>
      </c>
      <c r="S486">
        <v>43600</v>
      </c>
      <c r="AC486" t="s">
        <v>41</v>
      </c>
    </row>
    <row r="487" spans="1:29" ht="12.75">
      <c r="A487" t="str">
        <f>"6680453436"</f>
        <v>6680453436</v>
      </c>
      <c r="B487" t="str">
        <f>"02406911202"</f>
        <v>02406911202</v>
      </c>
      <c r="C487" t="s">
        <v>13</v>
      </c>
      <c r="D487" t="s">
        <v>30</v>
      </c>
      <c r="E487" t="s">
        <v>619</v>
      </c>
      <c r="F487" t="s">
        <v>32</v>
      </c>
      <c r="G487" t="str">
        <f>"09238800156"</f>
        <v>09238800156</v>
      </c>
      <c r="I487" t="s">
        <v>72</v>
      </c>
      <c r="L487" t="s">
        <v>34</v>
      </c>
      <c r="M487">
        <v>150227</v>
      </c>
      <c r="N487">
        <v>40956</v>
      </c>
      <c r="O487">
        <v>64521</v>
      </c>
      <c r="S487">
        <v>44750</v>
      </c>
      <c r="AC487" t="s">
        <v>41</v>
      </c>
    </row>
    <row r="488" spans="1:29" ht="12.75">
      <c r="A488" t="str">
        <f>"6680458855"</f>
        <v>6680458855</v>
      </c>
      <c r="B488" t="str">
        <f>"02406911202"</f>
        <v>02406911202</v>
      </c>
      <c r="C488" t="s">
        <v>13</v>
      </c>
      <c r="D488" t="s">
        <v>30</v>
      </c>
      <c r="E488" t="s">
        <v>619</v>
      </c>
      <c r="F488" t="s">
        <v>32</v>
      </c>
      <c r="G488" t="str">
        <f>"01835220482"</f>
        <v>01835220482</v>
      </c>
      <c r="I488" t="s">
        <v>74</v>
      </c>
      <c r="L488" t="s">
        <v>34</v>
      </c>
      <c r="M488">
        <v>28906.44</v>
      </c>
      <c r="N488">
        <v>6076</v>
      </c>
      <c r="R488">
        <v>490.44</v>
      </c>
      <c r="S488">
        <v>22340</v>
      </c>
      <c r="AC488" t="s">
        <v>41</v>
      </c>
    </row>
    <row r="489" spans="1:29" ht="12.75">
      <c r="A489" t="str">
        <f>"6680464D47"</f>
        <v>6680464D47</v>
      </c>
      <c r="B489" t="str">
        <f>"02406911202"</f>
        <v>02406911202</v>
      </c>
      <c r="C489" t="s">
        <v>13</v>
      </c>
      <c r="D489" t="s">
        <v>30</v>
      </c>
      <c r="E489" t="s">
        <v>619</v>
      </c>
      <c r="F489" t="s">
        <v>32</v>
      </c>
      <c r="G489" t="str">
        <f>"11264670156"</f>
        <v>11264670156</v>
      </c>
      <c r="I489" t="s">
        <v>76</v>
      </c>
      <c r="L489" t="s">
        <v>34</v>
      </c>
      <c r="M489">
        <v>623820.5</v>
      </c>
      <c r="N489">
        <v>196129.5</v>
      </c>
      <c r="O489">
        <v>120640</v>
      </c>
      <c r="R489">
        <v>14394</v>
      </c>
      <c r="S489">
        <v>292657</v>
      </c>
      <c r="AC489" t="s">
        <v>41</v>
      </c>
    </row>
    <row r="490" spans="1:29" ht="12.75">
      <c r="A490" t="str">
        <f>"6651131EEB"</f>
        <v>6651131EEB</v>
      </c>
      <c r="B490" t="str">
        <f>"02406911202"</f>
        <v>02406911202</v>
      </c>
      <c r="C490" t="s">
        <v>13</v>
      </c>
      <c r="D490" t="s">
        <v>30</v>
      </c>
      <c r="E490" t="s">
        <v>620</v>
      </c>
      <c r="F490" t="s">
        <v>32</v>
      </c>
      <c r="G490" t="str">
        <f>"12792100153"</f>
        <v>12792100153</v>
      </c>
      <c r="I490" t="s">
        <v>621</v>
      </c>
      <c r="L490" t="s">
        <v>34</v>
      </c>
      <c r="M490">
        <v>238440</v>
      </c>
      <c r="O490">
        <v>238440</v>
      </c>
      <c r="AC490" t="s">
        <v>41</v>
      </c>
    </row>
    <row r="491" spans="1:29" ht="12.75">
      <c r="A491" t="str">
        <f>"6679177738"</f>
        <v>6679177738</v>
      </c>
      <c r="B491" t="str">
        <f>"02406911202"</f>
        <v>02406911202</v>
      </c>
      <c r="C491" t="s">
        <v>13</v>
      </c>
      <c r="D491" t="s">
        <v>30</v>
      </c>
      <c r="E491" t="s">
        <v>622</v>
      </c>
      <c r="F491" t="s">
        <v>32</v>
      </c>
      <c r="G491" t="str">
        <f>"09050810960"</f>
        <v>09050810960</v>
      </c>
      <c r="I491" t="s">
        <v>623</v>
      </c>
      <c r="L491" t="s">
        <v>34</v>
      </c>
      <c r="M491">
        <v>32815.2</v>
      </c>
      <c r="N491">
        <v>15681.6</v>
      </c>
      <c r="O491">
        <v>11633.6</v>
      </c>
      <c r="P491">
        <v>5500</v>
      </c>
      <c r="AC491" t="s">
        <v>41</v>
      </c>
    </row>
    <row r="492" spans="1:29" ht="12.75">
      <c r="A492" t="str">
        <f>"66791966E6"</f>
        <v>66791966E6</v>
      </c>
      <c r="B492" t="str">
        <f>"02406911202"</f>
        <v>02406911202</v>
      </c>
      <c r="C492" t="s">
        <v>13</v>
      </c>
      <c r="D492" t="s">
        <v>30</v>
      </c>
      <c r="E492" t="s">
        <v>624</v>
      </c>
      <c r="F492" t="s">
        <v>32</v>
      </c>
      <c r="G492" t="str">
        <f>"00803890151"</f>
        <v>00803890151</v>
      </c>
      <c r="I492" t="s">
        <v>273</v>
      </c>
      <c r="L492" t="s">
        <v>34</v>
      </c>
      <c r="M492">
        <v>12596.2</v>
      </c>
      <c r="N492">
        <v>5550.7</v>
      </c>
      <c r="O492">
        <v>6191.5</v>
      </c>
      <c r="P492">
        <v>854</v>
      </c>
      <c r="AC492" t="s">
        <v>41</v>
      </c>
    </row>
    <row r="493" spans="1:29" ht="12.75">
      <c r="A493" t="str">
        <f>"6679206F24"</f>
        <v>6679206F24</v>
      </c>
      <c r="B493" t="str">
        <f>"02406911202"</f>
        <v>02406911202</v>
      </c>
      <c r="C493" t="s">
        <v>13</v>
      </c>
      <c r="D493" t="s">
        <v>30</v>
      </c>
      <c r="E493" t="s">
        <v>625</v>
      </c>
      <c r="F493" t="s">
        <v>32</v>
      </c>
      <c r="G493" t="str">
        <f>"05688870483"</f>
        <v>05688870483</v>
      </c>
      <c r="I493" t="s">
        <v>96</v>
      </c>
      <c r="L493" t="s">
        <v>34</v>
      </c>
      <c r="M493">
        <v>978.2</v>
      </c>
      <c r="N493">
        <v>455.6</v>
      </c>
      <c r="O493">
        <v>268</v>
      </c>
      <c r="P493">
        <v>254.6</v>
      </c>
      <c r="AC493" t="s">
        <v>41</v>
      </c>
    </row>
    <row r="494" spans="1:29" ht="12.75">
      <c r="A494" t="str">
        <f>"6591115828"</f>
        <v>6591115828</v>
      </c>
      <c r="B494" t="str">
        <f>"02406911202"</f>
        <v>02406911202</v>
      </c>
      <c r="C494" t="s">
        <v>13</v>
      </c>
      <c r="D494" t="s">
        <v>30</v>
      </c>
      <c r="E494" t="s">
        <v>626</v>
      </c>
      <c r="F494" t="s">
        <v>32</v>
      </c>
      <c r="G494" t="str">
        <f>"00856750153"</f>
        <v>00856750153</v>
      </c>
      <c r="I494" t="s">
        <v>451</v>
      </c>
      <c r="L494" t="s">
        <v>34</v>
      </c>
      <c r="M494">
        <v>499500</v>
      </c>
      <c r="O494">
        <v>499500</v>
      </c>
      <c r="AC494" t="s">
        <v>41</v>
      </c>
    </row>
    <row r="495" spans="1:29" ht="12.75">
      <c r="A495" t="str">
        <f>"6582427698"</f>
        <v>6582427698</v>
      </c>
      <c r="B495" t="str">
        <f>"02406911202"</f>
        <v>02406911202</v>
      </c>
      <c r="C495" t="s">
        <v>13</v>
      </c>
      <c r="D495" t="s">
        <v>30</v>
      </c>
      <c r="E495" t="s">
        <v>627</v>
      </c>
      <c r="F495" t="s">
        <v>32</v>
      </c>
      <c r="G495" t="str">
        <f>"93027710016"</f>
        <v>93027710016</v>
      </c>
      <c r="I495" t="s">
        <v>265</v>
      </c>
      <c r="L495" t="s">
        <v>34</v>
      </c>
      <c r="M495">
        <v>160628.4</v>
      </c>
      <c r="O495">
        <v>160628.4</v>
      </c>
      <c r="AC495" t="s">
        <v>41</v>
      </c>
    </row>
    <row r="496" spans="1:29" ht="12.75">
      <c r="A496" t="str">
        <f>"6582400052"</f>
        <v>6582400052</v>
      </c>
      <c r="B496" t="str">
        <f>"02406911202"</f>
        <v>02406911202</v>
      </c>
      <c r="C496" t="s">
        <v>13</v>
      </c>
      <c r="D496" t="s">
        <v>30</v>
      </c>
      <c r="E496" t="s">
        <v>627</v>
      </c>
      <c r="F496" t="s">
        <v>32</v>
      </c>
      <c r="G496" t="str">
        <f>"00970310397"</f>
        <v>00970310397</v>
      </c>
      <c r="I496" t="s">
        <v>628</v>
      </c>
      <c r="L496" t="s">
        <v>34</v>
      </c>
      <c r="M496">
        <v>156005.25</v>
      </c>
      <c r="O496">
        <v>156005.25</v>
      </c>
      <c r="AC496" t="s">
        <v>41</v>
      </c>
    </row>
    <row r="497" spans="1:29" ht="12.75">
      <c r="A497" t="str">
        <f>"65824422FA"</f>
        <v>65824422FA</v>
      </c>
      <c r="B497" t="str">
        <f>"02406911202"</f>
        <v>02406911202</v>
      </c>
      <c r="C497" t="s">
        <v>13</v>
      </c>
      <c r="D497" t="s">
        <v>30</v>
      </c>
      <c r="E497" t="s">
        <v>627</v>
      </c>
      <c r="F497" t="s">
        <v>32</v>
      </c>
      <c r="G497" t="str">
        <f>"02079181208"</f>
        <v>02079181208</v>
      </c>
      <c r="I497" t="s">
        <v>629</v>
      </c>
      <c r="L497" t="s">
        <v>34</v>
      </c>
      <c r="M497">
        <v>53828.03</v>
      </c>
      <c r="O497">
        <v>53828.03</v>
      </c>
      <c r="AC497" t="s">
        <v>41</v>
      </c>
    </row>
    <row r="498" spans="1:29" ht="12.75">
      <c r="A498" t="str">
        <f>"66818293B9"</f>
        <v>66818293B9</v>
      </c>
      <c r="B498" t="str">
        <f>"02406911202"</f>
        <v>02406911202</v>
      </c>
      <c r="C498" t="s">
        <v>13</v>
      </c>
      <c r="D498" t="s">
        <v>30</v>
      </c>
      <c r="E498" t="s">
        <v>630</v>
      </c>
      <c r="F498" t="s">
        <v>32</v>
      </c>
      <c r="G498" t="str">
        <f>"00831011200"</f>
        <v>00831011200</v>
      </c>
      <c r="I498" t="s">
        <v>631</v>
      </c>
      <c r="J498" t="s">
        <v>632</v>
      </c>
      <c r="K498" t="s">
        <v>59</v>
      </c>
      <c r="AC498" t="s">
        <v>41</v>
      </c>
    </row>
    <row r="499" spans="1:29" ht="12.75">
      <c r="A499" t="str">
        <f>"66818293B9"</f>
        <v>66818293B9</v>
      </c>
      <c r="B499" t="str">
        <f>"02406911202"</f>
        <v>02406911202</v>
      </c>
      <c r="C499" t="s">
        <v>13</v>
      </c>
      <c r="D499" t="s">
        <v>30</v>
      </c>
      <c r="E499" t="s">
        <v>630</v>
      </c>
      <c r="F499" t="s">
        <v>32</v>
      </c>
      <c r="G499" t="str">
        <f>"02244790750"</f>
        <v>02244790750</v>
      </c>
      <c r="I499" t="s">
        <v>633</v>
      </c>
      <c r="J499" t="s">
        <v>632</v>
      </c>
      <c r="K499" t="s">
        <v>62</v>
      </c>
      <c r="AC499" t="s">
        <v>41</v>
      </c>
    </row>
    <row r="500" spans="1:29" ht="12.75">
      <c r="A500" t="str">
        <f>"66818293B9"</f>
        <v>66818293B9</v>
      </c>
      <c r="B500" t="str">
        <f>"02406911202"</f>
        <v>02406911202</v>
      </c>
      <c r="C500" t="s">
        <v>13</v>
      </c>
      <c r="D500" t="s">
        <v>30</v>
      </c>
      <c r="E500" t="s">
        <v>630</v>
      </c>
      <c r="F500" t="s">
        <v>32</v>
      </c>
      <c r="G500" t="str">
        <f>"04411460639"</f>
        <v>04411460639</v>
      </c>
      <c r="I500" t="s">
        <v>634</v>
      </c>
      <c r="J500" t="s">
        <v>632</v>
      </c>
      <c r="K500" t="s">
        <v>62</v>
      </c>
      <c r="AC500" t="s">
        <v>41</v>
      </c>
    </row>
    <row r="501" spans="1:29" ht="12.75">
      <c r="A501" t="str">
        <f>"66818293B9"</f>
        <v>66818293B9</v>
      </c>
      <c r="B501" t="str">
        <f>"02406911202"</f>
        <v>02406911202</v>
      </c>
      <c r="C501" t="s">
        <v>13</v>
      </c>
      <c r="D501" t="s">
        <v>30</v>
      </c>
      <c r="E501" t="s">
        <v>630</v>
      </c>
      <c r="F501" t="s">
        <v>32</v>
      </c>
      <c r="I501" t="s">
        <v>632</v>
      </c>
      <c r="L501" t="s">
        <v>34</v>
      </c>
      <c r="M501">
        <v>9885000</v>
      </c>
      <c r="N501">
        <v>8385000</v>
      </c>
      <c r="P501">
        <v>1500000</v>
      </c>
      <c r="AC501" t="s">
        <v>41</v>
      </c>
    </row>
    <row r="502" spans="1:29" ht="12.75">
      <c r="A502" t="str">
        <f>"6667456EBC"</f>
        <v>6667456EBC</v>
      </c>
      <c r="B502" t="str">
        <f>"02406911202"</f>
        <v>02406911202</v>
      </c>
      <c r="C502" t="s">
        <v>13</v>
      </c>
      <c r="D502" t="s">
        <v>30</v>
      </c>
      <c r="E502" t="s">
        <v>635</v>
      </c>
      <c r="F502" t="s">
        <v>32</v>
      </c>
      <c r="G502" t="str">
        <f>"00747170157"</f>
        <v>00747170157</v>
      </c>
      <c r="I502" t="s">
        <v>435</v>
      </c>
      <c r="L502" t="s">
        <v>34</v>
      </c>
      <c r="M502">
        <v>215143.11</v>
      </c>
      <c r="N502">
        <v>43410.25</v>
      </c>
      <c r="O502">
        <v>171732.86</v>
      </c>
      <c r="AC502" t="s">
        <v>41</v>
      </c>
    </row>
    <row r="503" spans="1:29" ht="12.75">
      <c r="A503" t="str">
        <f>"668188411D"</f>
        <v>668188411D</v>
      </c>
      <c r="B503" t="str">
        <f>"02406911202"</f>
        <v>02406911202</v>
      </c>
      <c r="C503" t="s">
        <v>13</v>
      </c>
      <c r="D503" t="s">
        <v>30</v>
      </c>
      <c r="E503" t="s">
        <v>635</v>
      </c>
      <c r="F503" t="s">
        <v>32</v>
      </c>
      <c r="G503" t="str">
        <f>"02774840595"</f>
        <v>02774840595</v>
      </c>
      <c r="I503" t="s">
        <v>105</v>
      </c>
      <c r="L503" t="s">
        <v>34</v>
      </c>
      <c r="M503">
        <v>39493.92</v>
      </c>
      <c r="O503">
        <v>39493.92</v>
      </c>
      <c r="AC503" t="s">
        <v>41</v>
      </c>
    </row>
    <row r="504" spans="1:29" ht="12.75">
      <c r="A504" t="str">
        <f>"668113248A"</f>
        <v>668113248A</v>
      </c>
      <c r="B504" t="str">
        <f>"02406911202"</f>
        <v>02406911202</v>
      </c>
      <c r="C504" t="s">
        <v>13</v>
      </c>
      <c r="D504" t="s">
        <v>30</v>
      </c>
      <c r="E504" t="s">
        <v>635</v>
      </c>
      <c r="F504" t="s">
        <v>32</v>
      </c>
      <c r="G504" t="str">
        <f>"00426150488"</f>
        <v>00426150488</v>
      </c>
      <c r="I504" t="s">
        <v>161</v>
      </c>
      <c r="L504" t="s">
        <v>34</v>
      </c>
      <c r="M504">
        <v>389880</v>
      </c>
      <c r="O504">
        <v>389880</v>
      </c>
      <c r="AC504" t="s">
        <v>41</v>
      </c>
    </row>
    <row r="505" spans="1:29" ht="12.75">
      <c r="A505" t="str">
        <f>"6659265751"</f>
        <v>6659265751</v>
      </c>
      <c r="B505" t="str">
        <f>"02406911202"</f>
        <v>02406911202</v>
      </c>
      <c r="C505" t="s">
        <v>13</v>
      </c>
      <c r="D505" t="s">
        <v>30</v>
      </c>
      <c r="E505" t="s">
        <v>636</v>
      </c>
      <c r="F505" t="s">
        <v>32</v>
      </c>
      <c r="G505" t="str">
        <f>"00426150488"</f>
        <v>00426150488</v>
      </c>
      <c r="I505" t="s">
        <v>161</v>
      </c>
      <c r="L505" t="s">
        <v>34</v>
      </c>
      <c r="M505">
        <v>68458.6</v>
      </c>
      <c r="N505">
        <v>64939.7</v>
      </c>
      <c r="O505">
        <v>3518.9</v>
      </c>
      <c r="AC505" t="s">
        <v>41</v>
      </c>
    </row>
    <row r="506" spans="1:29" ht="12.75">
      <c r="A506" t="str">
        <f>"6653033084"</f>
        <v>6653033084</v>
      </c>
      <c r="B506" t="str">
        <f>"02406911202"</f>
        <v>02406911202</v>
      </c>
      <c r="C506" t="s">
        <v>13</v>
      </c>
      <c r="D506" t="s">
        <v>30</v>
      </c>
      <c r="E506" t="s">
        <v>637</v>
      </c>
      <c r="F506" t="s">
        <v>32</v>
      </c>
      <c r="G506" t="str">
        <f>"02481080964"</f>
        <v>02481080964</v>
      </c>
      <c r="I506" t="s">
        <v>94</v>
      </c>
      <c r="L506" t="s">
        <v>34</v>
      </c>
      <c r="M506">
        <v>104570</v>
      </c>
      <c r="O506">
        <v>104570</v>
      </c>
      <c r="AC506" t="s">
        <v>41</v>
      </c>
    </row>
    <row r="507" spans="1:29" ht="12.75">
      <c r="A507" t="str">
        <f>"6626376276"</f>
        <v>6626376276</v>
      </c>
      <c r="B507" t="str">
        <f>"02406911202"</f>
        <v>02406911202</v>
      </c>
      <c r="C507" t="s">
        <v>13</v>
      </c>
      <c r="D507" t="s">
        <v>30</v>
      </c>
      <c r="E507" t="s">
        <v>638</v>
      </c>
      <c r="F507" t="s">
        <v>32</v>
      </c>
      <c r="G507" t="str">
        <f>"00323310375"</f>
        <v>00323310375</v>
      </c>
      <c r="I507" t="s">
        <v>271</v>
      </c>
      <c r="L507" t="s">
        <v>34</v>
      </c>
      <c r="M507">
        <v>269000</v>
      </c>
      <c r="P507">
        <v>269000</v>
      </c>
      <c r="AC507" t="s">
        <v>41</v>
      </c>
    </row>
    <row r="508" spans="1:29" ht="12.75">
      <c r="A508" t="str">
        <f>"66044379D1"</f>
        <v>66044379D1</v>
      </c>
      <c r="B508" t="str">
        <f>"02406911202"</f>
        <v>02406911202</v>
      </c>
      <c r="C508" t="s">
        <v>13</v>
      </c>
      <c r="D508" t="s">
        <v>30</v>
      </c>
      <c r="E508" t="s">
        <v>639</v>
      </c>
      <c r="F508" t="s">
        <v>32</v>
      </c>
      <c r="G508" t="str">
        <f>"02375470289"</f>
        <v>02375470289</v>
      </c>
      <c r="I508" t="s">
        <v>640</v>
      </c>
      <c r="L508" t="s">
        <v>34</v>
      </c>
      <c r="M508">
        <v>27718</v>
      </c>
      <c r="N508">
        <v>21250</v>
      </c>
      <c r="P508">
        <v>6468</v>
      </c>
      <c r="AC508" t="s">
        <v>41</v>
      </c>
    </row>
    <row r="509" spans="1:29" ht="12.75">
      <c r="A509" t="str">
        <f>"66044379D1"</f>
        <v>66044379D1</v>
      </c>
      <c r="B509" t="str">
        <f>"02406911202"</f>
        <v>02406911202</v>
      </c>
      <c r="C509" t="s">
        <v>13</v>
      </c>
      <c r="D509" t="s">
        <v>30</v>
      </c>
      <c r="E509" t="s">
        <v>639</v>
      </c>
      <c r="F509" t="s">
        <v>32</v>
      </c>
      <c r="G509" t="str">
        <f>"03969290166"</f>
        <v>03969290166</v>
      </c>
      <c r="I509" t="s">
        <v>641</v>
      </c>
      <c r="L509" t="s">
        <v>91</v>
      </c>
      <c r="AC509" t="s">
        <v>41</v>
      </c>
    </row>
    <row r="510" spans="1:29" ht="12.75">
      <c r="A510" t="str">
        <f>"66044379D1"</f>
        <v>66044379D1</v>
      </c>
      <c r="B510" t="str">
        <f>"02406911202"</f>
        <v>02406911202</v>
      </c>
      <c r="C510" t="s">
        <v>13</v>
      </c>
      <c r="D510" t="s">
        <v>30</v>
      </c>
      <c r="E510" t="s">
        <v>639</v>
      </c>
      <c r="F510" t="s">
        <v>32</v>
      </c>
      <c r="G510" t="str">
        <f>"02431141205"</f>
        <v>02431141205</v>
      </c>
      <c r="I510" t="s">
        <v>642</v>
      </c>
      <c r="L510" t="s">
        <v>91</v>
      </c>
      <c r="AC510" t="s">
        <v>41</v>
      </c>
    </row>
    <row r="511" spans="1:29" ht="12.75">
      <c r="A511" t="str">
        <f>"66044379D1"</f>
        <v>66044379D1</v>
      </c>
      <c r="B511" t="str">
        <f>"02406911202"</f>
        <v>02406911202</v>
      </c>
      <c r="C511" t="s">
        <v>13</v>
      </c>
      <c r="D511" t="s">
        <v>30</v>
      </c>
      <c r="E511" t="s">
        <v>639</v>
      </c>
      <c r="F511" t="s">
        <v>32</v>
      </c>
      <c r="G511" t="str">
        <f>"01630000287"</f>
        <v>01630000287</v>
      </c>
      <c r="I511" t="s">
        <v>643</v>
      </c>
      <c r="L511" t="s">
        <v>91</v>
      </c>
      <c r="AC511" t="s">
        <v>41</v>
      </c>
    </row>
    <row r="512" spans="1:29" ht="12.75">
      <c r="A512" t="str">
        <f>"66044379D1"</f>
        <v>66044379D1</v>
      </c>
      <c r="B512" t="str">
        <f>"02406911202"</f>
        <v>02406911202</v>
      </c>
      <c r="C512" t="s">
        <v>13</v>
      </c>
      <c r="D512" t="s">
        <v>30</v>
      </c>
      <c r="E512" t="s">
        <v>639</v>
      </c>
      <c r="F512" t="s">
        <v>32</v>
      </c>
      <c r="G512" t="str">
        <f>"01847901202"</f>
        <v>01847901202</v>
      </c>
      <c r="I512" t="s">
        <v>644</v>
      </c>
      <c r="L512" t="s">
        <v>91</v>
      </c>
      <c r="AC512" t="s">
        <v>41</v>
      </c>
    </row>
    <row r="513" spans="1:29" ht="12.75">
      <c r="A513" t="str">
        <f>"6673830ABB"</f>
        <v>6673830ABB</v>
      </c>
      <c r="B513" t="str">
        <f>"02406911202"</f>
        <v>02406911202</v>
      </c>
      <c r="C513" t="s">
        <v>13</v>
      </c>
      <c r="D513" t="s">
        <v>30</v>
      </c>
      <c r="E513" t="s">
        <v>645</v>
      </c>
      <c r="F513" t="s">
        <v>32</v>
      </c>
      <c r="G513" t="str">
        <f>"93027710016"</f>
        <v>93027710016</v>
      </c>
      <c r="I513" t="s">
        <v>265</v>
      </c>
      <c r="L513" t="s">
        <v>34</v>
      </c>
      <c r="M513">
        <v>3468545</v>
      </c>
      <c r="O513">
        <v>3468545</v>
      </c>
      <c r="AC513" t="s">
        <v>41</v>
      </c>
    </row>
    <row r="514" spans="1:29" ht="12.75">
      <c r="A514" t="str">
        <f>"6684224C21"</f>
        <v>6684224C21</v>
      </c>
      <c r="B514" t="str">
        <f>"02406911202"</f>
        <v>02406911202</v>
      </c>
      <c r="C514" t="s">
        <v>13</v>
      </c>
      <c r="D514" t="s">
        <v>30</v>
      </c>
      <c r="E514" t="s">
        <v>646</v>
      </c>
      <c r="F514" t="s">
        <v>32</v>
      </c>
      <c r="G514" t="str">
        <f>"00777910159"</f>
        <v>00777910159</v>
      </c>
      <c r="I514" t="s">
        <v>647</v>
      </c>
      <c r="L514" t="s">
        <v>34</v>
      </c>
      <c r="M514">
        <v>13873.5</v>
      </c>
      <c r="N514">
        <v>6873.5</v>
      </c>
      <c r="Q514">
        <v>7000</v>
      </c>
      <c r="AC514" t="s">
        <v>41</v>
      </c>
    </row>
    <row r="515" spans="1:29" ht="12.75">
      <c r="A515" t="str">
        <f>"66862568FE"</f>
        <v>66862568FE</v>
      </c>
      <c r="B515" t="str">
        <f>"02406911202"</f>
        <v>02406911202</v>
      </c>
      <c r="C515" t="s">
        <v>13</v>
      </c>
      <c r="D515" t="s">
        <v>30</v>
      </c>
      <c r="E515" t="s">
        <v>648</v>
      </c>
      <c r="F515" t="s">
        <v>46</v>
      </c>
      <c r="G515" t="str">
        <f>"06070001000"</f>
        <v>06070001000</v>
      </c>
      <c r="I515" t="s">
        <v>79</v>
      </c>
      <c r="L515" t="s">
        <v>34</v>
      </c>
      <c r="M515">
        <v>50820</v>
      </c>
      <c r="N515">
        <v>15420</v>
      </c>
      <c r="O515">
        <v>35400</v>
      </c>
      <c r="AC515" t="s">
        <v>41</v>
      </c>
    </row>
    <row r="516" spans="1:29" ht="12.75">
      <c r="A516" t="str">
        <f>"668615125A"</f>
        <v>668615125A</v>
      </c>
      <c r="B516" t="str">
        <f>"02406911202"</f>
        <v>02406911202</v>
      </c>
      <c r="C516" t="s">
        <v>13</v>
      </c>
      <c r="D516" t="s">
        <v>30</v>
      </c>
      <c r="E516" t="s">
        <v>649</v>
      </c>
      <c r="F516" t="s">
        <v>32</v>
      </c>
      <c r="G516" t="str">
        <f>"10994940152"</f>
        <v>10994940152</v>
      </c>
      <c r="I516" t="s">
        <v>257</v>
      </c>
      <c r="L516" t="s">
        <v>34</v>
      </c>
      <c r="M516">
        <v>39900</v>
      </c>
      <c r="O516">
        <v>39900</v>
      </c>
      <c r="AC516" t="s">
        <v>41</v>
      </c>
    </row>
    <row r="517" spans="1:29" ht="12.75">
      <c r="A517" t="str">
        <f>"6675184817"</f>
        <v>6675184817</v>
      </c>
      <c r="B517" t="str">
        <f>"02406911202"</f>
        <v>02406911202</v>
      </c>
      <c r="C517" t="s">
        <v>13</v>
      </c>
      <c r="D517" t="s">
        <v>30</v>
      </c>
      <c r="E517" t="s">
        <v>650</v>
      </c>
      <c r="F517" t="s">
        <v>32</v>
      </c>
      <c r="G517" t="str">
        <f>"01992020543"</f>
        <v>01992020543</v>
      </c>
      <c r="I517" t="s">
        <v>651</v>
      </c>
      <c r="L517" t="s">
        <v>34</v>
      </c>
      <c r="M517">
        <v>19780</v>
      </c>
      <c r="P517">
        <v>19780</v>
      </c>
      <c r="AC517" t="s">
        <v>41</v>
      </c>
    </row>
    <row r="518" spans="1:29" ht="12.75">
      <c r="A518" t="str">
        <f>"665585594B"</f>
        <v>665585594B</v>
      </c>
      <c r="B518" t="str">
        <f>"02406911202"</f>
        <v>02406911202</v>
      </c>
      <c r="C518" t="s">
        <v>13</v>
      </c>
      <c r="D518" t="s">
        <v>30</v>
      </c>
      <c r="E518" t="s">
        <v>650</v>
      </c>
      <c r="F518" t="s">
        <v>32</v>
      </c>
      <c r="G518" t="str">
        <f>"00311430375"</f>
        <v>00311430375</v>
      </c>
      <c r="I518" t="s">
        <v>652</v>
      </c>
      <c r="L518" t="s">
        <v>34</v>
      </c>
      <c r="M518">
        <v>859311</v>
      </c>
      <c r="N518">
        <v>66496</v>
      </c>
      <c r="O518">
        <v>659782</v>
      </c>
      <c r="P518">
        <v>133033</v>
      </c>
      <c r="AC518" t="s">
        <v>41</v>
      </c>
    </row>
    <row r="519" spans="1:29" ht="12.75">
      <c r="A519" t="str">
        <f>"665614696F"</f>
        <v>665614696F</v>
      </c>
      <c r="B519" t="str">
        <f>"02406911202"</f>
        <v>02406911202</v>
      </c>
      <c r="C519" t="s">
        <v>13</v>
      </c>
      <c r="D519" t="s">
        <v>30</v>
      </c>
      <c r="E519" t="s">
        <v>650</v>
      </c>
      <c r="F519" t="s">
        <v>32</v>
      </c>
      <c r="G519" t="str">
        <f>"05994810488"</f>
        <v>05994810488</v>
      </c>
      <c r="I519" t="s">
        <v>653</v>
      </c>
      <c r="L519" t="s">
        <v>34</v>
      </c>
      <c r="M519">
        <v>281447.21</v>
      </c>
      <c r="O519">
        <v>179596.4</v>
      </c>
      <c r="P519">
        <v>101850.81</v>
      </c>
      <c r="AC519" t="s">
        <v>41</v>
      </c>
    </row>
    <row r="520" spans="1:29" ht="12.75">
      <c r="A520" t="str">
        <f>"66920359F9"</f>
        <v>66920359F9</v>
      </c>
      <c r="B520" t="str">
        <f>"02406911202"</f>
        <v>02406911202</v>
      </c>
      <c r="C520" t="s">
        <v>13</v>
      </c>
      <c r="D520" t="s">
        <v>30</v>
      </c>
      <c r="E520" t="s">
        <v>650</v>
      </c>
      <c r="F520" t="s">
        <v>32</v>
      </c>
      <c r="G520" t="str">
        <f>"05994810488"</f>
        <v>05994810488</v>
      </c>
      <c r="I520" t="s">
        <v>653</v>
      </c>
      <c r="L520" t="s">
        <v>34</v>
      </c>
      <c r="M520">
        <v>20000</v>
      </c>
      <c r="P520">
        <v>20000</v>
      </c>
      <c r="AC520" t="s">
        <v>41</v>
      </c>
    </row>
    <row r="521" spans="1:29" ht="12.75">
      <c r="A521" t="str">
        <f>"6660474D02"</f>
        <v>6660474D02</v>
      </c>
      <c r="B521" t="str">
        <f>"02406911202"</f>
        <v>02406911202</v>
      </c>
      <c r="C521" t="s">
        <v>13</v>
      </c>
      <c r="D521" t="s">
        <v>30</v>
      </c>
      <c r="E521" t="s">
        <v>650</v>
      </c>
      <c r="F521" t="s">
        <v>32</v>
      </c>
      <c r="G521" t="str">
        <f>"03002830366"</f>
        <v>03002830366</v>
      </c>
      <c r="I521" t="s">
        <v>654</v>
      </c>
      <c r="L521" t="s">
        <v>34</v>
      </c>
      <c r="M521">
        <v>1098876</v>
      </c>
      <c r="N521">
        <v>980126</v>
      </c>
      <c r="O521">
        <v>118750</v>
      </c>
      <c r="AC521" t="s">
        <v>41</v>
      </c>
    </row>
    <row r="522" spans="1:29" ht="12.75">
      <c r="A522" t="str">
        <f>"66562016D3"</f>
        <v>66562016D3</v>
      </c>
      <c r="B522" t="str">
        <f>"02406911202"</f>
        <v>02406911202</v>
      </c>
      <c r="C522" t="s">
        <v>13</v>
      </c>
      <c r="D522" t="s">
        <v>30</v>
      </c>
      <c r="E522" t="s">
        <v>650</v>
      </c>
      <c r="F522" t="s">
        <v>32</v>
      </c>
      <c r="G522" t="str">
        <f>"00967720285"</f>
        <v>00967720285</v>
      </c>
      <c r="I522" t="s">
        <v>108</v>
      </c>
      <c r="L522" t="s">
        <v>34</v>
      </c>
      <c r="M522">
        <v>1033199</v>
      </c>
      <c r="N522">
        <v>822635</v>
      </c>
      <c r="O522">
        <v>92035</v>
      </c>
      <c r="P522">
        <v>118529</v>
      </c>
      <c r="AC522" t="s">
        <v>41</v>
      </c>
    </row>
    <row r="523" spans="1:29" ht="12.75">
      <c r="A523" t="str">
        <f>"66603159CD"</f>
        <v>66603159CD</v>
      </c>
      <c r="B523" t="str">
        <f>"02406911202"</f>
        <v>02406911202</v>
      </c>
      <c r="C523" t="s">
        <v>13</v>
      </c>
      <c r="D523" t="s">
        <v>30</v>
      </c>
      <c r="E523" t="s">
        <v>650</v>
      </c>
      <c r="F523" t="s">
        <v>32</v>
      </c>
      <c r="G523" t="str">
        <f>"08336080588"</f>
        <v>08336080588</v>
      </c>
      <c r="I523" t="s">
        <v>655</v>
      </c>
      <c r="L523" t="s">
        <v>34</v>
      </c>
      <c r="M523">
        <v>545400</v>
      </c>
      <c r="O523">
        <v>545400</v>
      </c>
      <c r="AC523" t="s">
        <v>41</v>
      </c>
    </row>
    <row r="524" spans="1:29" ht="12.75">
      <c r="A524" t="str">
        <f>"6656247CC7"</f>
        <v>6656247CC7</v>
      </c>
      <c r="B524" t="str">
        <f>"02406911202"</f>
        <v>02406911202</v>
      </c>
      <c r="C524" t="s">
        <v>13</v>
      </c>
      <c r="D524" t="s">
        <v>30</v>
      </c>
      <c r="E524" t="s">
        <v>650</v>
      </c>
      <c r="F524" t="s">
        <v>32</v>
      </c>
      <c r="G524" t="str">
        <f>"01114770660"</f>
        <v>01114770660</v>
      </c>
      <c r="I524" t="s">
        <v>656</v>
      </c>
      <c r="L524" t="s">
        <v>34</v>
      </c>
      <c r="M524">
        <v>26079</v>
      </c>
      <c r="P524">
        <v>26079</v>
      </c>
      <c r="AC524" t="s">
        <v>41</v>
      </c>
    </row>
    <row r="525" spans="1:29" ht="12.75">
      <c r="A525" t="str">
        <f>"665627216C"</f>
        <v>665627216C</v>
      </c>
      <c r="B525" t="str">
        <f>"02406911202"</f>
        <v>02406911202</v>
      </c>
      <c r="C525" t="s">
        <v>13</v>
      </c>
      <c r="D525" t="s">
        <v>30</v>
      </c>
      <c r="E525" t="s">
        <v>650</v>
      </c>
      <c r="F525" t="s">
        <v>32</v>
      </c>
      <c r="G525" t="str">
        <f>"01921940340"</f>
        <v>01921940340</v>
      </c>
      <c r="I525" t="s">
        <v>657</v>
      </c>
      <c r="L525" t="s">
        <v>34</v>
      </c>
      <c r="M525">
        <v>135869</v>
      </c>
      <c r="N525">
        <v>91336</v>
      </c>
      <c r="P525">
        <v>44533</v>
      </c>
      <c r="AC525" t="s">
        <v>41</v>
      </c>
    </row>
    <row r="526" spans="1:29" ht="12.75">
      <c r="A526" t="str">
        <f>"665637566A"</f>
        <v>665637566A</v>
      </c>
      <c r="B526" t="str">
        <f>"02406911202"</f>
        <v>02406911202</v>
      </c>
      <c r="C526" t="s">
        <v>13</v>
      </c>
      <c r="D526" t="s">
        <v>30</v>
      </c>
      <c r="E526" t="s">
        <v>650</v>
      </c>
      <c r="F526" t="s">
        <v>32</v>
      </c>
      <c r="G526" t="str">
        <f>"07945211006"</f>
        <v>07945211006</v>
      </c>
      <c r="I526" t="s">
        <v>658</v>
      </c>
      <c r="L526" t="s">
        <v>34</v>
      </c>
      <c r="M526">
        <v>23300</v>
      </c>
      <c r="P526">
        <v>23300</v>
      </c>
      <c r="AC526" t="s">
        <v>41</v>
      </c>
    </row>
    <row r="527" spans="1:29" ht="12.75">
      <c r="A527" t="str">
        <f>"66754947E9"</f>
        <v>66754947E9</v>
      </c>
      <c r="B527" t="str">
        <f>"02406911202"</f>
        <v>02406911202</v>
      </c>
      <c r="C527" t="s">
        <v>13</v>
      </c>
      <c r="D527" t="s">
        <v>30</v>
      </c>
      <c r="E527" t="s">
        <v>650</v>
      </c>
      <c r="F527" t="s">
        <v>32</v>
      </c>
      <c r="G527" t="str">
        <f>"07629110151"</f>
        <v>07629110151</v>
      </c>
      <c r="I527" t="s">
        <v>659</v>
      </c>
      <c r="L527" t="s">
        <v>34</v>
      </c>
      <c r="M527">
        <v>106556</v>
      </c>
      <c r="O527">
        <v>106556</v>
      </c>
      <c r="AC527" t="s">
        <v>41</v>
      </c>
    </row>
    <row r="528" spans="1:29" ht="12.75">
      <c r="A528" t="str">
        <f>"66563967BE"</f>
        <v>66563967BE</v>
      </c>
      <c r="B528" t="str">
        <f>"02406911202"</f>
        <v>02406911202</v>
      </c>
      <c r="C528" t="s">
        <v>13</v>
      </c>
      <c r="D528" t="s">
        <v>30</v>
      </c>
      <c r="E528" t="s">
        <v>650</v>
      </c>
      <c r="F528" t="s">
        <v>32</v>
      </c>
      <c r="G528" t="str">
        <f>"01347430397"</f>
        <v>01347430397</v>
      </c>
      <c r="I528" t="s">
        <v>660</v>
      </c>
      <c r="L528" t="s">
        <v>34</v>
      </c>
      <c r="M528">
        <v>1612230</v>
      </c>
      <c r="N528">
        <v>998230</v>
      </c>
      <c r="O528">
        <v>412600</v>
      </c>
      <c r="P528">
        <v>201400</v>
      </c>
      <c r="AC528" t="s">
        <v>41</v>
      </c>
    </row>
    <row r="529" spans="1:29" ht="12.75">
      <c r="A529" t="str">
        <f>"6656496A43"</f>
        <v>6656496A43</v>
      </c>
      <c r="B529" t="str">
        <f>"02406911202"</f>
        <v>02406911202</v>
      </c>
      <c r="C529" t="s">
        <v>13</v>
      </c>
      <c r="D529" t="s">
        <v>30</v>
      </c>
      <c r="E529" t="s">
        <v>650</v>
      </c>
      <c r="F529" t="s">
        <v>32</v>
      </c>
      <c r="G529" t="str">
        <f>"04057301006"</f>
        <v>04057301006</v>
      </c>
      <c r="I529" t="s">
        <v>661</v>
      </c>
      <c r="L529" t="s">
        <v>34</v>
      </c>
      <c r="M529">
        <v>92236</v>
      </c>
      <c r="N529">
        <v>38800</v>
      </c>
      <c r="P529">
        <v>53436</v>
      </c>
      <c r="AC529" t="s">
        <v>41</v>
      </c>
    </row>
    <row r="530" spans="1:29" ht="12.75">
      <c r="A530" t="str">
        <f>"6656466184"</f>
        <v>6656466184</v>
      </c>
      <c r="B530" t="str">
        <f>"02406911202"</f>
        <v>02406911202</v>
      </c>
      <c r="C530" t="s">
        <v>13</v>
      </c>
      <c r="D530" t="s">
        <v>30</v>
      </c>
      <c r="E530" t="s">
        <v>650</v>
      </c>
      <c r="F530" t="s">
        <v>32</v>
      </c>
      <c r="G530" t="str">
        <f>"03356761209"</f>
        <v>03356761209</v>
      </c>
      <c r="I530" t="s">
        <v>662</v>
      </c>
      <c r="L530" t="s">
        <v>34</v>
      </c>
      <c r="M530">
        <v>25136</v>
      </c>
      <c r="P530">
        <v>25136</v>
      </c>
      <c r="AC530" t="s">
        <v>41</v>
      </c>
    </row>
    <row r="531" spans="1:29" ht="12.75">
      <c r="A531" t="str">
        <f>"6675617D68"</f>
        <v>6675617D68</v>
      </c>
      <c r="B531" t="str">
        <f>"02406911202"</f>
        <v>02406911202</v>
      </c>
      <c r="C531" t="s">
        <v>13</v>
      </c>
      <c r="D531" t="s">
        <v>30</v>
      </c>
      <c r="E531" t="s">
        <v>650</v>
      </c>
      <c r="F531" t="s">
        <v>32</v>
      </c>
      <c r="G531" t="str">
        <f>"04039860376"</f>
        <v>04039860376</v>
      </c>
      <c r="I531" t="s">
        <v>663</v>
      </c>
      <c r="L531" t="s">
        <v>34</v>
      </c>
      <c r="M531">
        <v>166929.63</v>
      </c>
      <c r="O531">
        <v>166929.63</v>
      </c>
      <c r="AC531" t="s">
        <v>41</v>
      </c>
    </row>
    <row r="532" spans="1:29" ht="12.75">
      <c r="A532" t="str">
        <f>"66756898D4"</f>
        <v>66756898D4</v>
      </c>
      <c r="B532" t="str">
        <f>"02406911202"</f>
        <v>02406911202</v>
      </c>
      <c r="C532" t="s">
        <v>13</v>
      </c>
      <c r="D532" t="s">
        <v>30</v>
      </c>
      <c r="E532" t="s">
        <v>650</v>
      </c>
      <c r="F532" t="s">
        <v>32</v>
      </c>
      <c r="G532" t="str">
        <f>"01847860309"</f>
        <v>01847860309</v>
      </c>
      <c r="I532" t="s">
        <v>664</v>
      </c>
      <c r="L532" t="s">
        <v>34</v>
      </c>
      <c r="M532">
        <v>26895</v>
      </c>
      <c r="O532">
        <v>26895</v>
      </c>
      <c r="AC532" t="s">
        <v>41</v>
      </c>
    </row>
    <row r="533" spans="1:29" ht="12.75">
      <c r="A533" t="str">
        <f>"667577931B"</f>
        <v>667577931B</v>
      </c>
      <c r="B533" t="str">
        <f>"02406911202"</f>
        <v>02406911202</v>
      </c>
      <c r="C533" t="s">
        <v>13</v>
      </c>
      <c r="D533" t="s">
        <v>30</v>
      </c>
      <c r="E533" t="s">
        <v>650</v>
      </c>
      <c r="F533" t="s">
        <v>32</v>
      </c>
      <c r="G533" t="str">
        <f>"03593680378"</f>
        <v>03593680378</v>
      </c>
      <c r="I533" t="s">
        <v>665</v>
      </c>
      <c r="L533" t="s">
        <v>34</v>
      </c>
      <c r="M533">
        <v>47759.25</v>
      </c>
      <c r="O533">
        <v>47759.25</v>
      </c>
      <c r="AC533" t="s">
        <v>41</v>
      </c>
    </row>
    <row r="534" spans="1:29" ht="12.75">
      <c r="A534" t="str">
        <f>"6691728CA0"</f>
        <v>6691728CA0</v>
      </c>
      <c r="B534" t="str">
        <f>"02406911202"</f>
        <v>02406911202</v>
      </c>
      <c r="C534" t="s">
        <v>13</v>
      </c>
      <c r="D534" t="s">
        <v>30</v>
      </c>
      <c r="E534" t="s">
        <v>650</v>
      </c>
      <c r="F534" t="s">
        <v>32</v>
      </c>
      <c r="G534" t="str">
        <f>"01515320180"</f>
        <v>01515320180</v>
      </c>
      <c r="I534" t="s">
        <v>666</v>
      </c>
      <c r="L534" t="s">
        <v>34</v>
      </c>
      <c r="M534">
        <v>15715.85</v>
      </c>
      <c r="O534">
        <v>15715.85</v>
      </c>
      <c r="AC534" t="s">
        <v>41</v>
      </c>
    </row>
    <row r="535" spans="1:29" ht="12.75">
      <c r="A535" t="str">
        <f>"66917552EB"</f>
        <v>66917552EB</v>
      </c>
      <c r="B535" t="str">
        <f>"02406911202"</f>
        <v>02406911202</v>
      </c>
      <c r="C535" t="s">
        <v>13</v>
      </c>
      <c r="D535" t="s">
        <v>30</v>
      </c>
      <c r="E535" t="s">
        <v>650</v>
      </c>
      <c r="F535" t="s">
        <v>32</v>
      </c>
      <c r="G535" t="str">
        <f>"01902071206"</f>
        <v>01902071206</v>
      </c>
      <c r="I535" t="s">
        <v>667</v>
      </c>
      <c r="L535" t="s">
        <v>34</v>
      </c>
      <c r="M535">
        <v>5814</v>
      </c>
      <c r="O535">
        <v>5814</v>
      </c>
      <c r="AC535" t="s">
        <v>41</v>
      </c>
    </row>
    <row r="536" spans="1:29" ht="12.75">
      <c r="A536" t="str">
        <f>"66917785E5"</f>
        <v>66917785E5</v>
      </c>
      <c r="B536" t="str">
        <f>"02406911202"</f>
        <v>02406911202</v>
      </c>
      <c r="C536" t="s">
        <v>13</v>
      </c>
      <c r="D536" t="s">
        <v>30</v>
      </c>
      <c r="E536" t="s">
        <v>650</v>
      </c>
      <c r="F536" t="s">
        <v>32</v>
      </c>
      <c r="G536" t="str">
        <f>"09228921004"</f>
        <v>09228921004</v>
      </c>
      <c r="I536" t="s">
        <v>668</v>
      </c>
      <c r="L536" t="s">
        <v>34</v>
      </c>
      <c r="M536">
        <v>19700</v>
      </c>
      <c r="O536">
        <v>19700</v>
      </c>
      <c r="AC536" t="s">
        <v>41</v>
      </c>
    </row>
    <row r="537" spans="1:29" ht="12.75">
      <c r="A537" t="str">
        <f>"6570643A20"</f>
        <v>6570643A20</v>
      </c>
      <c r="B537" t="str">
        <f>"02406911202"</f>
        <v>02406911202</v>
      </c>
      <c r="C537" t="s">
        <v>13</v>
      </c>
      <c r="D537" t="s">
        <v>30</v>
      </c>
      <c r="E537" t="s">
        <v>669</v>
      </c>
      <c r="F537" t="s">
        <v>32</v>
      </c>
      <c r="G537" t="str">
        <f>"06349620960"</f>
        <v>06349620960</v>
      </c>
      <c r="I537" t="s">
        <v>670</v>
      </c>
      <c r="L537" t="s">
        <v>34</v>
      </c>
      <c r="M537">
        <v>75000</v>
      </c>
      <c r="O537">
        <v>75000</v>
      </c>
      <c r="AC537" t="s">
        <v>41</v>
      </c>
    </row>
    <row r="538" spans="1:29" ht="12.75">
      <c r="A538" t="str">
        <f>"6570643A20"</f>
        <v>6570643A20</v>
      </c>
      <c r="B538" t="str">
        <f>"02406911202"</f>
        <v>02406911202</v>
      </c>
      <c r="C538" t="s">
        <v>13</v>
      </c>
      <c r="D538" t="s">
        <v>30</v>
      </c>
      <c r="E538" t="s">
        <v>669</v>
      </c>
      <c r="F538" t="s">
        <v>32</v>
      </c>
      <c r="G538" t="str">
        <f>"08641790152"</f>
        <v>08641790152</v>
      </c>
      <c r="I538" t="s">
        <v>585</v>
      </c>
      <c r="L538" t="s">
        <v>91</v>
      </c>
      <c r="AC538" t="s">
        <v>41</v>
      </c>
    </row>
    <row r="539" spans="1:29" ht="12.75">
      <c r="A539" t="str">
        <f>"6570643A20"</f>
        <v>6570643A20</v>
      </c>
      <c r="B539" t="str">
        <f>"02406911202"</f>
        <v>02406911202</v>
      </c>
      <c r="C539" t="s">
        <v>13</v>
      </c>
      <c r="D539" t="s">
        <v>30</v>
      </c>
      <c r="E539" t="s">
        <v>669</v>
      </c>
      <c r="F539" t="s">
        <v>32</v>
      </c>
      <c r="G539" t="str">
        <f>"03597020373"</f>
        <v>03597020373</v>
      </c>
      <c r="I539" t="s">
        <v>671</v>
      </c>
      <c r="L539" t="s">
        <v>91</v>
      </c>
      <c r="AC539" t="s">
        <v>41</v>
      </c>
    </row>
    <row r="540" spans="1:29" ht="12.75">
      <c r="A540" t="str">
        <f>"6570643A20"</f>
        <v>6570643A20</v>
      </c>
      <c r="B540" t="str">
        <f>"02406911202"</f>
        <v>02406911202</v>
      </c>
      <c r="C540" t="s">
        <v>13</v>
      </c>
      <c r="D540" t="s">
        <v>30</v>
      </c>
      <c r="E540" t="s">
        <v>669</v>
      </c>
      <c r="F540" t="s">
        <v>32</v>
      </c>
      <c r="G540" t="str">
        <f>"00615700374"</f>
        <v>00615700374</v>
      </c>
      <c r="I540" t="s">
        <v>93</v>
      </c>
      <c r="L540" t="s">
        <v>91</v>
      </c>
      <c r="AC540" t="s">
        <v>41</v>
      </c>
    </row>
    <row r="541" spans="1:29" ht="12.75">
      <c r="A541" t="str">
        <f>"67170350A3"</f>
        <v>67170350A3</v>
      </c>
      <c r="B541" t="str">
        <f>"02406911202"</f>
        <v>02406911202</v>
      </c>
      <c r="C541" t="s">
        <v>13</v>
      </c>
      <c r="D541" t="s">
        <v>30</v>
      </c>
      <c r="E541" t="s">
        <v>672</v>
      </c>
      <c r="F541" t="s">
        <v>46</v>
      </c>
      <c r="G541" t="str">
        <f>"10181220152"</f>
        <v>10181220152</v>
      </c>
      <c r="I541" t="s">
        <v>103</v>
      </c>
      <c r="L541" t="s">
        <v>34</v>
      </c>
      <c r="M541">
        <v>546600</v>
      </c>
      <c r="O541">
        <v>546600</v>
      </c>
      <c r="AC541" t="s">
        <v>199</v>
      </c>
    </row>
    <row r="542" spans="1:29" ht="12.75">
      <c r="A542" t="str">
        <f>"67656739F9"</f>
        <v>67656739F9</v>
      </c>
      <c r="B542" t="str">
        <f>"02406911202"</f>
        <v>02406911202</v>
      </c>
      <c r="C542" t="s">
        <v>13</v>
      </c>
      <c r="D542" t="s">
        <v>30</v>
      </c>
      <c r="E542" t="s">
        <v>673</v>
      </c>
      <c r="F542" t="s">
        <v>32</v>
      </c>
      <c r="G542" t="str">
        <f>"00076670595"</f>
        <v>00076670595</v>
      </c>
      <c r="I542" t="s">
        <v>104</v>
      </c>
      <c r="L542" t="s">
        <v>34</v>
      </c>
      <c r="M542">
        <v>619279.98</v>
      </c>
      <c r="O542">
        <v>619279.98</v>
      </c>
      <c r="AC542" t="s">
        <v>293</v>
      </c>
    </row>
    <row r="543" spans="1:29" ht="12.75">
      <c r="A543" t="str">
        <f>"6765870C8A"</f>
        <v>6765870C8A</v>
      </c>
      <c r="B543" t="str">
        <f>"02406911202"</f>
        <v>02406911202</v>
      </c>
      <c r="C543" t="s">
        <v>13</v>
      </c>
      <c r="D543" t="s">
        <v>30</v>
      </c>
      <c r="E543" t="s">
        <v>674</v>
      </c>
      <c r="F543" t="s">
        <v>32</v>
      </c>
      <c r="G543" t="str">
        <f>"04732240967"</f>
        <v>04732240967</v>
      </c>
      <c r="I543" t="s">
        <v>491</v>
      </c>
      <c r="L543" t="s">
        <v>34</v>
      </c>
      <c r="M543">
        <v>112522.73</v>
      </c>
      <c r="O543">
        <v>112522.73</v>
      </c>
      <c r="AC543" t="s">
        <v>675</v>
      </c>
    </row>
    <row r="544" spans="1:29" ht="12.75">
      <c r="A544" t="str">
        <f>"67241353BD"</f>
        <v>67241353BD</v>
      </c>
      <c r="B544" t="str">
        <f>"02406911202"</f>
        <v>02406911202</v>
      </c>
      <c r="C544" t="s">
        <v>13</v>
      </c>
      <c r="D544" t="s">
        <v>30</v>
      </c>
      <c r="E544" t="s">
        <v>676</v>
      </c>
      <c r="F544" t="s">
        <v>78</v>
      </c>
      <c r="G544" t="str">
        <f>"04303410726"</f>
        <v>04303410726</v>
      </c>
      <c r="I544" t="s">
        <v>677</v>
      </c>
      <c r="L544" t="s">
        <v>34</v>
      </c>
      <c r="M544">
        <v>137994.89</v>
      </c>
      <c r="Z544">
        <v>24290.99</v>
      </c>
      <c r="AA544" t="s">
        <v>336</v>
      </c>
      <c r="AB544" t="s">
        <v>678</v>
      </c>
      <c r="AC544" t="s">
        <v>679</v>
      </c>
    </row>
    <row r="545" spans="1:29" ht="12.75">
      <c r="A545" t="str">
        <f>"67241017AD"</f>
        <v>67241017AD</v>
      </c>
      <c r="B545" t="str">
        <f>"02406911202"</f>
        <v>02406911202</v>
      </c>
      <c r="C545" t="s">
        <v>13</v>
      </c>
      <c r="D545" t="s">
        <v>30</v>
      </c>
      <c r="E545" t="s">
        <v>680</v>
      </c>
      <c r="F545" t="s">
        <v>78</v>
      </c>
      <c r="G545" t="str">
        <f>"03960230377"</f>
        <v>03960230377</v>
      </c>
      <c r="I545" t="s">
        <v>681</v>
      </c>
      <c r="L545" t="s">
        <v>34</v>
      </c>
      <c r="M545">
        <v>64071.04</v>
      </c>
      <c r="Z545">
        <v>15317.88</v>
      </c>
      <c r="AA545" t="s">
        <v>336</v>
      </c>
      <c r="AB545" t="s">
        <v>678</v>
      </c>
      <c r="AC545" t="s">
        <v>679</v>
      </c>
    </row>
    <row r="546" spans="1:29" ht="12.75">
      <c r="A546" t="str">
        <f>"6622750231"</f>
        <v>6622750231</v>
      </c>
      <c r="B546" t="str">
        <f>"02406911202"</f>
        <v>02406911202</v>
      </c>
      <c r="C546" t="s">
        <v>13</v>
      </c>
      <c r="D546" t="s">
        <v>30</v>
      </c>
      <c r="E546" t="s">
        <v>682</v>
      </c>
      <c r="F546" t="s">
        <v>32</v>
      </c>
      <c r="G546" t="str">
        <f>"09120130159"</f>
        <v>09120130159</v>
      </c>
      <c r="I546" t="s">
        <v>683</v>
      </c>
      <c r="L546" t="s">
        <v>34</v>
      </c>
      <c r="M546">
        <v>55000</v>
      </c>
      <c r="O546">
        <v>55000</v>
      </c>
      <c r="AA546" t="s">
        <v>290</v>
      </c>
      <c r="AB546" t="s">
        <v>180</v>
      </c>
      <c r="AC546" t="s">
        <v>89</v>
      </c>
    </row>
    <row r="547" spans="1:29" ht="12.75">
      <c r="A547" t="str">
        <f>"66601387BD"</f>
        <v>66601387BD</v>
      </c>
      <c r="B547" t="str">
        <f>"02406911202"</f>
        <v>02406911202</v>
      </c>
      <c r="C547" t="s">
        <v>13</v>
      </c>
      <c r="D547" t="s">
        <v>30</v>
      </c>
      <c r="E547" t="s">
        <v>684</v>
      </c>
      <c r="F547" t="s">
        <v>78</v>
      </c>
      <c r="G547" t="str">
        <f>"01681100150"</f>
        <v>01681100150</v>
      </c>
      <c r="I547" t="s">
        <v>201</v>
      </c>
      <c r="L547" t="s">
        <v>91</v>
      </c>
      <c r="AC547" t="s">
        <v>202</v>
      </c>
    </row>
    <row r="548" spans="1:29" ht="12.75">
      <c r="A548" t="str">
        <f>"6739764532"</f>
        <v>6739764532</v>
      </c>
      <c r="B548" t="str">
        <f>"02406911202"</f>
        <v>02406911202</v>
      </c>
      <c r="C548" t="s">
        <v>13</v>
      </c>
      <c r="D548" t="s">
        <v>30</v>
      </c>
      <c r="E548" t="s">
        <v>685</v>
      </c>
      <c r="F548" t="s">
        <v>78</v>
      </c>
      <c r="G548" t="str">
        <f>"12971700153"</f>
        <v>12971700153</v>
      </c>
      <c r="I548" t="s">
        <v>686</v>
      </c>
      <c r="L548" t="s">
        <v>91</v>
      </c>
      <c r="AC548" t="s">
        <v>687</v>
      </c>
    </row>
    <row r="549" spans="1:29" ht="12.75">
      <c r="A549" t="str">
        <f>"6739764532"</f>
        <v>6739764532</v>
      </c>
      <c r="B549" t="str">
        <f>"02406911202"</f>
        <v>02406911202</v>
      </c>
      <c r="C549" t="s">
        <v>13</v>
      </c>
      <c r="D549" t="s">
        <v>30</v>
      </c>
      <c r="E549" t="s">
        <v>685</v>
      </c>
      <c r="F549" t="s">
        <v>78</v>
      </c>
      <c r="G549" t="str">
        <f>"00100190610"</f>
        <v>00100190610</v>
      </c>
      <c r="I549" t="s">
        <v>688</v>
      </c>
      <c r="L549" t="s">
        <v>34</v>
      </c>
      <c r="M549">
        <v>383959.92</v>
      </c>
      <c r="O549">
        <v>270754.36</v>
      </c>
      <c r="P549">
        <v>101525.62</v>
      </c>
      <c r="Q549">
        <v>11679.94</v>
      </c>
      <c r="AC549" t="s">
        <v>687</v>
      </c>
    </row>
    <row r="550" spans="1:29" ht="12.75">
      <c r="A550" t="str">
        <f>"673976453"</f>
        <v>673976453</v>
      </c>
      <c r="B550" t="str">
        <f>"02406911202"</f>
        <v>02406911202</v>
      </c>
      <c r="C550" t="s">
        <v>13</v>
      </c>
      <c r="D550" t="s">
        <v>30</v>
      </c>
      <c r="E550" t="s">
        <v>689</v>
      </c>
      <c r="F550" t="s">
        <v>32</v>
      </c>
      <c r="G550" t="str">
        <f>"00100190610"</f>
        <v>00100190610</v>
      </c>
      <c r="I550" t="s">
        <v>688</v>
      </c>
      <c r="L550" t="s">
        <v>34</v>
      </c>
      <c r="M550">
        <v>731533.56</v>
      </c>
      <c r="O550">
        <v>618328</v>
      </c>
      <c r="P550">
        <v>101525.62</v>
      </c>
      <c r="Q550">
        <v>11679.94</v>
      </c>
      <c r="AC550" t="s">
        <v>687</v>
      </c>
    </row>
    <row r="551" spans="1:30" ht="12.75">
      <c r="A551" t="str">
        <f>"6714411B3B"</f>
        <v>6714411B3B</v>
      </c>
      <c r="B551" t="str">
        <f>"02406911202"</f>
        <v>02406911202</v>
      </c>
      <c r="C551" t="s">
        <v>13</v>
      </c>
      <c r="D551" t="s">
        <v>30</v>
      </c>
      <c r="E551" t="s">
        <v>690</v>
      </c>
      <c r="F551" t="s">
        <v>32</v>
      </c>
      <c r="G551" t="str">
        <f>"01412200394"</f>
        <v>01412200394</v>
      </c>
      <c r="I551" t="s">
        <v>691</v>
      </c>
      <c r="L551" t="s">
        <v>34</v>
      </c>
      <c r="M551">
        <v>68129.67</v>
      </c>
      <c r="Q551">
        <v>68129.67</v>
      </c>
      <c r="AA551" t="s">
        <v>692</v>
      </c>
      <c r="AB551" t="s">
        <v>67</v>
      </c>
      <c r="AC551" t="s">
        <v>175</v>
      </c>
      <c r="AD551" s="1" t="s">
        <v>693</v>
      </c>
    </row>
    <row r="552" spans="1:30" ht="12.75">
      <c r="A552" t="str">
        <f>"65601853EB"</f>
        <v>65601853EB</v>
      </c>
      <c r="B552" t="str">
        <f>"02406911202"</f>
        <v>02406911202</v>
      </c>
      <c r="C552" t="s">
        <v>13</v>
      </c>
      <c r="D552" t="s">
        <v>30</v>
      </c>
      <c r="E552" t="s">
        <v>694</v>
      </c>
      <c r="F552" t="s">
        <v>188</v>
      </c>
      <c r="G552" t="str">
        <f>"00674840152"</f>
        <v>00674840152</v>
      </c>
      <c r="I552" t="s">
        <v>473</v>
      </c>
      <c r="L552" t="s">
        <v>91</v>
      </c>
      <c r="AC552" t="s">
        <v>695</v>
      </c>
      <c r="AD552" t="s">
        <v>214</v>
      </c>
    </row>
    <row r="553" spans="1:30" ht="12.75">
      <c r="A553" t="str">
        <f>"65601853EB"</f>
        <v>65601853EB</v>
      </c>
      <c r="B553" t="str">
        <f>"02406911202"</f>
        <v>02406911202</v>
      </c>
      <c r="C553" t="s">
        <v>13</v>
      </c>
      <c r="D553" t="s">
        <v>30</v>
      </c>
      <c r="E553" t="s">
        <v>694</v>
      </c>
      <c r="F553" t="s">
        <v>188</v>
      </c>
      <c r="G553" t="str">
        <f>"00574250379"</f>
        <v>00574250379</v>
      </c>
      <c r="I553" t="s">
        <v>696</v>
      </c>
      <c r="L553" t="s">
        <v>91</v>
      </c>
      <c r="AC553" t="s">
        <v>695</v>
      </c>
      <c r="AD553" t="s">
        <v>214</v>
      </c>
    </row>
    <row r="554" spans="1:30" ht="12.75">
      <c r="A554" t="str">
        <f>"65601853EB"</f>
        <v>65601853EB</v>
      </c>
      <c r="B554" t="str">
        <f>"02406911202"</f>
        <v>02406911202</v>
      </c>
      <c r="C554" t="s">
        <v>13</v>
      </c>
      <c r="D554" t="s">
        <v>30</v>
      </c>
      <c r="E554" t="s">
        <v>694</v>
      </c>
      <c r="F554" t="s">
        <v>188</v>
      </c>
      <c r="G554" t="str">
        <f>"10617240154"</f>
        <v>10617240154</v>
      </c>
      <c r="I554" t="s">
        <v>697</v>
      </c>
      <c r="L554" t="s">
        <v>91</v>
      </c>
      <c r="AC554" t="s">
        <v>695</v>
      </c>
      <c r="AD554" t="s">
        <v>214</v>
      </c>
    </row>
    <row r="555" spans="1:30" ht="12.75">
      <c r="A555" t="str">
        <f>"65601853EB"</f>
        <v>65601853EB</v>
      </c>
      <c r="B555" t="str">
        <f>"02406911202"</f>
        <v>02406911202</v>
      </c>
      <c r="C555" t="s">
        <v>13</v>
      </c>
      <c r="D555" t="s">
        <v>30</v>
      </c>
      <c r="E555" t="s">
        <v>694</v>
      </c>
      <c r="F555" t="s">
        <v>188</v>
      </c>
      <c r="G555" t="str">
        <f>"08082461008"</f>
        <v>08082461008</v>
      </c>
      <c r="I555" t="s">
        <v>69</v>
      </c>
      <c r="L555" t="s">
        <v>91</v>
      </c>
      <c r="AC555" t="s">
        <v>695</v>
      </c>
      <c r="AD555" t="s">
        <v>214</v>
      </c>
    </row>
    <row r="556" spans="1:30" ht="12.75">
      <c r="A556" t="str">
        <f>"65601853EB"</f>
        <v>65601853EB</v>
      </c>
      <c r="B556" t="str">
        <f>"02406911202"</f>
        <v>02406911202</v>
      </c>
      <c r="C556" t="s">
        <v>13</v>
      </c>
      <c r="D556" t="s">
        <v>30</v>
      </c>
      <c r="E556" t="s">
        <v>694</v>
      </c>
      <c r="F556" t="s">
        <v>188</v>
      </c>
      <c r="G556" t="str">
        <f>"07796530967"</f>
        <v>07796530967</v>
      </c>
      <c r="I556" t="s">
        <v>698</v>
      </c>
      <c r="L556" t="s">
        <v>91</v>
      </c>
      <c r="AC556" t="s">
        <v>695</v>
      </c>
      <c r="AD556" t="s">
        <v>214</v>
      </c>
    </row>
    <row r="557" spans="1:30" ht="12.75">
      <c r="A557" t="str">
        <f>"65601853EB"</f>
        <v>65601853EB</v>
      </c>
      <c r="B557" t="str">
        <f>"02406911202"</f>
        <v>02406911202</v>
      </c>
      <c r="C557" t="s">
        <v>13</v>
      </c>
      <c r="D557" t="s">
        <v>30</v>
      </c>
      <c r="E557" t="s">
        <v>694</v>
      </c>
      <c r="F557" t="s">
        <v>188</v>
      </c>
      <c r="G557" t="str">
        <f>"01427710304"</f>
        <v>01427710304</v>
      </c>
      <c r="I557" t="s">
        <v>699</v>
      </c>
      <c r="L557" t="s">
        <v>91</v>
      </c>
      <c r="AC557" t="s">
        <v>695</v>
      </c>
      <c r="AD557" t="s">
        <v>214</v>
      </c>
    </row>
    <row r="558" spans="1:30" ht="12.75">
      <c r="A558" t="str">
        <f>"65601853EB"</f>
        <v>65601853EB</v>
      </c>
      <c r="B558" t="str">
        <f>"02406911202"</f>
        <v>02406911202</v>
      </c>
      <c r="C558" t="s">
        <v>13</v>
      </c>
      <c r="D558" t="s">
        <v>30</v>
      </c>
      <c r="E558" t="s">
        <v>694</v>
      </c>
      <c r="F558" t="s">
        <v>188</v>
      </c>
      <c r="G558" t="str">
        <f>"08357720963"</f>
        <v>08357720963</v>
      </c>
      <c r="I558" t="s">
        <v>700</v>
      </c>
      <c r="L558" t="s">
        <v>91</v>
      </c>
      <c r="AC558" t="s">
        <v>695</v>
      </c>
      <c r="AD558" t="s">
        <v>214</v>
      </c>
    </row>
    <row r="559" spans="1:30" ht="12.75">
      <c r="A559" t="str">
        <f>"65601853EB"</f>
        <v>65601853EB</v>
      </c>
      <c r="B559" t="str">
        <f>"02406911202"</f>
        <v>02406911202</v>
      </c>
      <c r="C559" t="s">
        <v>13</v>
      </c>
      <c r="D559" t="s">
        <v>30</v>
      </c>
      <c r="E559" t="s">
        <v>694</v>
      </c>
      <c r="F559" t="s">
        <v>188</v>
      </c>
      <c r="G559" t="str">
        <f>"07747160153"</f>
        <v>07747160153</v>
      </c>
      <c r="I559" t="s">
        <v>701</v>
      </c>
      <c r="L559" t="s">
        <v>91</v>
      </c>
      <c r="AC559" t="s">
        <v>695</v>
      </c>
      <c r="AD559" t="s">
        <v>214</v>
      </c>
    </row>
    <row r="560" spans="1:30" ht="12.75">
      <c r="A560" t="str">
        <f>"65601853EB"</f>
        <v>65601853EB</v>
      </c>
      <c r="B560" t="str">
        <f>"02406911202"</f>
        <v>02406911202</v>
      </c>
      <c r="C560" t="s">
        <v>13</v>
      </c>
      <c r="D560" t="s">
        <v>30</v>
      </c>
      <c r="E560" t="s">
        <v>694</v>
      </c>
      <c r="F560" t="s">
        <v>188</v>
      </c>
      <c r="G560" t="str">
        <f>"12335931007"</f>
        <v>12335931007</v>
      </c>
      <c r="I560" t="s">
        <v>702</v>
      </c>
      <c r="L560" t="s">
        <v>34</v>
      </c>
      <c r="M560">
        <v>483700</v>
      </c>
      <c r="N560">
        <v>135200</v>
      </c>
      <c r="O560">
        <v>122400</v>
      </c>
      <c r="P560">
        <v>168400</v>
      </c>
      <c r="Q560">
        <v>49900</v>
      </c>
      <c r="R560">
        <v>3900</v>
      </c>
      <c r="S560">
        <v>3900</v>
      </c>
      <c r="AC560" t="s">
        <v>695</v>
      </c>
      <c r="AD560" t="s">
        <v>214</v>
      </c>
    </row>
    <row r="561" spans="1:30" ht="12.75">
      <c r="A561" t="str">
        <f>"6767018FE5"</f>
        <v>6767018FE5</v>
      </c>
      <c r="B561" t="str">
        <f>"02406911202"</f>
        <v>02406911202</v>
      </c>
      <c r="C561" t="s">
        <v>13</v>
      </c>
      <c r="D561" t="s">
        <v>30</v>
      </c>
      <c r="E561" t="s">
        <v>703</v>
      </c>
      <c r="F561" t="s">
        <v>32</v>
      </c>
      <c r="G561" t="str">
        <f>"12572900152"</f>
        <v>12572900152</v>
      </c>
      <c r="I561" t="s">
        <v>704</v>
      </c>
      <c r="L561" t="s">
        <v>34</v>
      </c>
      <c r="M561">
        <v>111696</v>
      </c>
      <c r="N561">
        <v>6630</v>
      </c>
      <c r="O561">
        <v>11700</v>
      </c>
      <c r="P561">
        <v>71760</v>
      </c>
      <c r="R561">
        <v>15990</v>
      </c>
      <c r="S561">
        <v>5616</v>
      </c>
      <c r="AC561" t="s">
        <v>705</v>
      </c>
      <c r="AD561" t="s">
        <v>214</v>
      </c>
    </row>
    <row r="562" spans="1:29" ht="12.75">
      <c r="A562" t="str">
        <f>"67448477D1"</f>
        <v>67448477D1</v>
      </c>
      <c r="B562" t="str">
        <f>"02406911202"</f>
        <v>02406911202</v>
      </c>
      <c r="C562" t="s">
        <v>13</v>
      </c>
      <c r="D562" t="s">
        <v>30</v>
      </c>
      <c r="E562" t="s">
        <v>706</v>
      </c>
      <c r="F562" t="s">
        <v>32</v>
      </c>
      <c r="G562" t="str">
        <f>"07641640961"</f>
        <v>07641640961</v>
      </c>
      <c r="I562" t="s">
        <v>707</v>
      </c>
      <c r="L562" t="s">
        <v>34</v>
      </c>
      <c r="M562">
        <v>29969.8</v>
      </c>
      <c r="Q562">
        <v>29969.8</v>
      </c>
      <c r="AC562" t="s">
        <v>287</v>
      </c>
    </row>
    <row r="563" spans="1:29" ht="12.75">
      <c r="A563" t="str">
        <f>"677070200C"</f>
        <v>677070200C</v>
      </c>
      <c r="B563" t="str">
        <f>"02406911202"</f>
        <v>02406911202</v>
      </c>
      <c r="C563" t="s">
        <v>13</v>
      </c>
      <c r="D563" t="s">
        <v>30</v>
      </c>
      <c r="E563" t="s">
        <v>708</v>
      </c>
      <c r="F563" t="s">
        <v>32</v>
      </c>
      <c r="G563" t="str">
        <f>"00421210485"</f>
        <v>00421210485</v>
      </c>
      <c r="I563" t="s">
        <v>147</v>
      </c>
      <c r="L563" t="s">
        <v>34</v>
      </c>
      <c r="M563">
        <v>4821.6</v>
      </c>
      <c r="O563">
        <v>4821.6</v>
      </c>
      <c r="AA563" t="s">
        <v>709</v>
      </c>
      <c r="AB563" t="s">
        <v>180</v>
      </c>
      <c r="AC563" t="s">
        <v>709</v>
      </c>
    </row>
    <row r="564" spans="1:29" ht="12.75">
      <c r="A564" t="str">
        <f>"677074645A"</f>
        <v>677074645A</v>
      </c>
      <c r="B564" t="str">
        <f>"02406911202"</f>
        <v>02406911202</v>
      </c>
      <c r="C564" t="s">
        <v>13</v>
      </c>
      <c r="D564" t="s">
        <v>30</v>
      </c>
      <c r="E564" t="s">
        <v>710</v>
      </c>
      <c r="F564" t="s">
        <v>32</v>
      </c>
      <c r="G564" t="str">
        <f>"00426150488"</f>
        <v>00426150488</v>
      </c>
      <c r="I564" t="s">
        <v>161</v>
      </c>
      <c r="L564" t="s">
        <v>34</v>
      </c>
      <c r="M564">
        <v>27900</v>
      </c>
      <c r="O564">
        <v>27900</v>
      </c>
      <c r="AA564" t="s">
        <v>709</v>
      </c>
      <c r="AB564" t="s">
        <v>180</v>
      </c>
      <c r="AC564" t="s">
        <v>709</v>
      </c>
    </row>
    <row r="565" spans="1:29" ht="12.75">
      <c r="A565" t="str">
        <f>"6767328FB7"</f>
        <v>6767328FB7</v>
      </c>
      <c r="B565" t="str">
        <f>"02406911202"</f>
        <v>02406911202</v>
      </c>
      <c r="C565" t="s">
        <v>13</v>
      </c>
      <c r="D565" t="s">
        <v>30</v>
      </c>
      <c r="E565" t="s">
        <v>711</v>
      </c>
      <c r="F565" t="s">
        <v>32</v>
      </c>
      <c r="G565" t="str">
        <f>"00696360155"</f>
        <v>00696360155</v>
      </c>
      <c r="I565" t="s">
        <v>277</v>
      </c>
      <c r="L565" t="s">
        <v>34</v>
      </c>
      <c r="M565">
        <v>109946.4</v>
      </c>
      <c r="O565">
        <v>109946.4</v>
      </c>
      <c r="AA565" t="s">
        <v>709</v>
      </c>
      <c r="AB565" t="s">
        <v>180</v>
      </c>
      <c r="AC565" t="s">
        <v>705</v>
      </c>
    </row>
    <row r="566" spans="1:29" ht="12.75">
      <c r="A566" t="str">
        <f>"6753274201"</f>
        <v>6753274201</v>
      </c>
      <c r="B566" t="str">
        <f>"02406911202"</f>
        <v>02406911202</v>
      </c>
      <c r="C566" t="s">
        <v>13</v>
      </c>
      <c r="D566" t="s">
        <v>30</v>
      </c>
      <c r="E566" t="s">
        <v>712</v>
      </c>
      <c r="F566" t="s">
        <v>32</v>
      </c>
      <c r="G566" t="str">
        <f>"02622410401"</f>
        <v>02622410401</v>
      </c>
      <c r="I566" t="s">
        <v>713</v>
      </c>
      <c r="L566" t="s">
        <v>34</v>
      </c>
      <c r="M566">
        <v>26000</v>
      </c>
      <c r="O566">
        <v>26000</v>
      </c>
      <c r="AC566" t="s">
        <v>714</v>
      </c>
    </row>
    <row r="567" spans="1:29" ht="12.75">
      <c r="A567" t="str">
        <f>"675323844B"</f>
        <v>675323844B</v>
      </c>
      <c r="B567" t="str">
        <f>"02406911202"</f>
        <v>02406911202</v>
      </c>
      <c r="C567" t="s">
        <v>13</v>
      </c>
      <c r="D567" t="s">
        <v>30</v>
      </c>
      <c r="E567" t="s">
        <v>712</v>
      </c>
      <c r="F567" t="s">
        <v>32</v>
      </c>
      <c r="G567" t="str">
        <f>"00311430375"</f>
        <v>00311430375</v>
      </c>
      <c r="I567" t="s">
        <v>652</v>
      </c>
      <c r="L567" t="s">
        <v>34</v>
      </c>
      <c r="M567">
        <v>45000</v>
      </c>
      <c r="O567">
        <v>45000</v>
      </c>
      <c r="AC567" t="s">
        <v>714</v>
      </c>
    </row>
    <row r="568" spans="1:29" ht="12.75">
      <c r="A568" t="str">
        <f>"0000000005"</f>
        <v>0000000005</v>
      </c>
      <c r="B568" t="str">
        <f>"02406911202"</f>
        <v>02406911202</v>
      </c>
      <c r="C568" t="s">
        <v>13</v>
      </c>
      <c r="D568" t="s">
        <v>30</v>
      </c>
      <c r="E568" t="s">
        <v>715</v>
      </c>
      <c r="F568" t="s">
        <v>557</v>
      </c>
      <c r="G568" t="str">
        <f>"04313250377"</f>
        <v>04313250377</v>
      </c>
      <c r="I568" t="s">
        <v>558</v>
      </c>
      <c r="L568" t="s">
        <v>34</v>
      </c>
      <c r="M568">
        <v>426359.67</v>
      </c>
      <c r="N568">
        <v>305226.15</v>
      </c>
      <c r="O568">
        <v>121133.52</v>
      </c>
      <c r="AA568" t="s">
        <v>41</v>
      </c>
      <c r="AB568" t="s">
        <v>180</v>
      </c>
      <c r="AC568" t="s">
        <v>716</v>
      </c>
    </row>
    <row r="569" spans="1:29" ht="12.75">
      <c r="A569" t="str">
        <f>"6778888358"</f>
        <v>6778888358</v>
      </c>
      <c r="B569" t="str">
        <f>"02406911202"</f>
        <v>02406911202</v>
      </c>
      <c r="C569" t="s">
        <v>13</v>
      </c>
      <c r="D569" t="s">
        <v>30</v>
      </c>
      <c r="E569" t="s">
        <v>717</v>
      </c>
      <c r="F569" t="s">
        <v>32</v>
      </c>
      <c r="G569" t="str">
        <f>"04947170967"</f>
        <v>04947170967</v>
      </c>
      <c r="I569" t="s">
        <v>481</v>
      </c>
      <c r="L569" t="s">
        <v>34</v>
      </c>
      <c r="M569">
        <v>351850.44</v>
      </c>
      <c r="O569">
        <v>351850.44</v>
      </c>
      <c r="AC569" t="s">
        <v>718</v>
      </c>
    </row>
    <row r="570" spans="1:29" ht="12.75">
      <c r="A570" t="str">
        <f>"6778899C69"</f>
        <v>6778899C69</v>
      </c>
      <c r="B570" t="str">
        <f>"02406911202"</f>
        <v>02406911202</v>
      </c>
      <c r="C570" t="s">
        <v>13</v>
      </c>
      <c r="D570" t="s">
        <v>30</v>
      </c>
      <c r="E570" t="s">
        <v>717</v>
      </c>
      <c r="F570" t="s">
        <v>32</v>
      </c>
      <c r="G570" t="str">
        <f>"02642020156"</f>
        <v>02642020156</v>
      </c>
      <c r="I570" t="s">
        <v>485</v>
      </c>
      <c r="L570" t="s">
        <v>34</v>
      </c>
      <c r="M570">
        <v>302150</v>
      </c>
      <c r="O570">
        <v>302150</v>
      </c>
      <c r="AC570" t="s">
        <v>718</v>
      </c>
    </row>
    <row r="571" spans="1:29" ht="12.75">
      <c r="A571" t="str">
        <f>"6778905160"</f>
        <v>6778905160</v>
      </c>
      <c r="B571" t="str">
        <f>"02406911202"</f>
        <v>02406911202</v>
      </c>
      <c r="C571" t="s">
        <v>13</v>
      </c>
      <c r="D571" t="s">
        <v>30</v>
      </c>
      <c r="E571" t="s">
        <v>717</v>
      </c>
      <c r="F571" t="s">
        <v>32</v>
      </c>
      <c r="G571" t="str">
        <f>"01241900669"</f>
        <v>01241900669</v>
      </c>
      <c r="I571" t="s">
        <v>719</v>
      </c>
      <c r="L571" t="s">
        <v>34</v>
      </c>
      <c r="M571">
        <v>302427</v>
      </c>
      <c r="O571">
        <v>302427</v>
      </c>
      <c r="AC571" t="s">
        <v>718</v>
      </c>
    </row>
    <row r="572" spans="1:29" ht="12.75">
      <c r="A572" t="str">
        <f>"67789105F"</f>
        <v>67789105F</v>
      </c>
      <c r="B572" t="str">
        <f>"02406911202"</f>
        <v>02406911202</v>
      </c>
      <c r="C572" t="s">
        <v>13</v>
      </c>
      <c r="D572" t="s">
        <v>30</v>
      </c>
      <c r="E572" t="s">
        <v>717</v>
      </c>
      <c r="F572" t="s">
        <v>32</v>
      </c>
      <c r="H572" t="str">
        <f>"GB700513982"</f>
        <v>GB700513982</v>
      </c>
      <c r="I572" t="s">
        <v>507</v>
      </c>
      <c r="L572" t="s">
        <v>34</v>
      </c>
      <c r="M572">
        <v>74550</v>
      </c>
      <c r="O572">
        <v>74550</v>
      </c>
      <c r="AC572" t="s">
        <v>718</v>
      </c>
    </row>
    <row r="573" spans="1:29" ht="12.75">
      <c r="A573" t="str">
        <f>"6778916A71"</f>
        <v>6778916A71</v>
      </c>
      <c r="B573" t="str">
        <f>"02406911202"</f>
        <v>02406911202</v>
      </c>
      <c r="C573" t="s">
        <v>13</v>
      </c>
      <c r="D573" t="s">
        <v>30</v>
      </c>
      <c r="E573" t="s">
        <v>717</v>
      </c>
      <c r="F573" t="s">
        <v>32</v>
      </c>
      <c r="G573" t="str">
        <f>"03859880969"</f>
        <v>03859880969</v>
      </c>
      <c r="I573" t="s">
        <v>335</v>
      </c>
      <c r="L573" t="s">
        <v>34</v>
      </c>
      <c r="M573">
        <v>12615.56</v>
      </c>
      <c r="O573">
        <v>12615.56</v>
      </c>
      <c r="AC573" t="s">
        <v>718</v>
      </c>
    </row>
    <row r="574" spans="1:29" ht="12.75">
      <c r="A574" t="str">
        <f>"6778921E90"</f>
        <v>6778921E90</v>
      </c>
      <c r="B574" t="str">
        <f>"02406911202"</f>
        <v>02406911202</v>
      </c>
      <c r="C574" t="s">
        <v>13</v>
      </c>
      <c r="D574" t="s">
        <v>30</v>
      </c>
      <c r="E574" t="s">
        <v>717</v>
      </c>
      <c r="F574" t="s">
        <v>32</v>
      </c>
      <c r="H574" t="str">
        <f>"CEE142043814"</f>
        <v>CEE142043814</v>
      </c>
      <c r="I574" t="s">
        <v>720</v>
      </c>
      <c r="L574" t="s">
        <v>34</v>
      </c>
      <c r="M574">
        <v>13000</v>
      </c>
      <c r="O574">
        <v>13000</v>
      </c>
      <c r="AC574" t="s">
        <v>718</v>
      </c>
    </row>
    <row r="575" spans="1:29" ht="12.75">
      <c r="A575" t="str">
        <f>"67789251E1"</f>
        <v>67789251E1</v>
      </c>
      <c r="B575" t="str">
        <f>"02406911202"</f>
        <v>02406911202</v>
      </c>
      <c r="C575" t="s">
        <v>13</v>
      </c>
      <c r="D575" t="s">
        <v>30</v>
      </c>
      <c r="E575" t="s">
        <v>721</v>
      </c>
      <c r="F575" t="s">
        <v>32</v>
      </c>
      <c r="G575" t="str">
        <f>"00431030584"</f>
        <v>00431030584</v>
      </c>
      <c r="I575" t="s">
        <v>468</v>
      </c>
      <c r="L575" t="s">
        <v>34</v>
      </c>
      <c r="M575">
        <v>109014.1</v>
      </c>
      <c r="O575">
        <v>109014.1</v>
      </c>
      <c r="AC575" t="s">
        <v>718</v>
      </c>
    </row>
    <row r="576" spans="1:29" ht="12.75">
      <c r="A576" t="str">
        <f>"677892845A"</f>
        <v>677892845A</v>
      </c>
      <c r="B576" t="str">
        <f>"02406911202"</f>
        <v>02406911202</v>
      </c>
      <c r="C576" t="s">
        <v>13</v>
      </c>
      <c r="D576" t="s">
        <v>30</v>
      </c>
      <c r="E576" t="s">
        <v>721</v>
      </c>
      <c r="F576" t="s">
        <v>32</v>
      </c>
      <c r="G576" t="str">
        <f>"11815361008"</f>
        <v>11815361008</v>
      </c>
      <c r="I576" t="s">
        <v>430</v>
      </c>
      <c r="L576" t="s">
        <v>34</v>
      </c>
      <c r="M576">
        <v>12750.5</v>
      </c>
      <c r="O576">
        <v>12750.5</v>
      </c>
      <c r="AC576" t="s">
        <v>718</v>
      </c>
    </row>
    <row r="577" spans="1:29" ht="12.75">
      <c r="A577" t="str">
        <f>"677893494C"</f>
        <v>677893494C</v>
      </c>
      <c r="B577" t="str">
        <f>"02406911202"</f>
        <v>02406911202</v>
      </c>
      <c r="C577" t="s">
        <v>13</v>
      </c>
      <c r="D577" t="s">
        <v>30</v>
      </c>
      <c r="E577" t="s">
        <v>721</v>
      </c>
      <c r="F577" t="s">
        <v>32</v>
      </c>
      <c r="G577" t="str">
        <f>"00735390155"</f>
        <v>00735390155</v>
      </c>
      <c r="I577" t="s">
        <v>156</v>
      </c>
      <c r="L577" t="s">
        <v>34</v>
      </c>
      <c r="M577">
        <v>140000</v>
      </c>
      <c r="O577">
        <v>140000</v>
      </c>
      <c r="AC577" t="s">
        <v>718</v>
      </c>
    </row>
    <row r="578" spans="1:29" ht="12.75">
      <c r="A578" t="str">
        <f>"6778937BC5"</f>
        <v>6778937BC5</v>
      </c>
      <c r="B578" t="str">
        <f>"02406911202"</f>
        <v>02406911202</v>
      </c>
      <c r="C578" t="s">
        <v>13</v>
      </c>
      <c r="D578" t="s">
        <v>30</v>
      </c>
      <c r="E578" t="s">
        <v>721</v>
      </c>
      <c r="F578" t="s">
        <v>32</v>
      </c>
      <c r="G578" t="str">
        <f>"00832400154"</f>
        <v>00832400154</v>
      </c>
      <c r="I578" t="s">
        <v>159</v>
      </c>
      <c r="L578" t="s">
        <v>34</v>
      </c>
      <c r="M578">
        <v>32265.9</v>
      </c>
      <c r="O578">
        <v>32265.9</v>
      </c>
      <c r="AC578" t="s">
        <v>718</v>
      </c>
    </row>
    <row r="579" spans="1:29" ht="12.75">
      <c r="A579" t="str">
        <f>"6779226A43"</f>
        <v>6779226A43</v>
      </c>
      <c r="B579" t="str">
        <f>"02406911202"</f>
        <v>02406911202</v>
      </c>
      <c r="C579" t="s">
        <v>13</v>
      </c>
      <c r="D579" t="s">
        <v>30</v>
      </c>
      <c r="E579" t="s">
        <v>722</v>
      </c>
      <c r="F579" t="s">
        <v>32</v>
      </c>
      <c r="G579" t="str">
        <f>"08433930966"</f>
        <v>08433930966</v>
      </c>
      <c r="I579" t="s">
        <v>723</v>
      </c>
      <c r="L579" t="s">
        <v>34</v>
      </c>
      <c r="M579">
        <v>169389.2</v>
      </c>
      <c r="Q579">
        <v>169389.2</v>
      </c>
      <c r="AC579" t="s">
        <v>718</v>
      </c>
    </row>
    <row r="580" spans="1:29" ht="12.75">
      <c r="A580" t="str">
        <f>"6738030E3E"</f>
        <v>6738030E3E</v>
      </c>
      <c r="B580" t="str">
        <f>"02406911202"</f>
        <v>02406911202</v>
      </c>
      <c r="C580" t="s">
        <v>13</v>
      </c>
      <c r="D580" t="s">
        <v>30</v>
      </c>
      <c r="E580" t="s">
        <v>724</v>
      </c>
      <c r="F580" t="s">
        <v>32</v>
      </c>
      <c r="G580" t="str">
        <f>"09238800156"</f>
        <v>09238800156</v>
      </c>
      <c r="I580" t="s">
        <v>72</v>
      </c>
      <c r="L580" t="s">
        <v>34</v>
      </c>
      <c r="M580">
        <v>540000</v>
      </c>
      <c r="O580">
        <v>540000</v>
      </c>
      <c r="AC580" t="s">
        <v>287</v>
      </c>
    </row>
    <row r="581" spans="1:29" ht="12.75">
      <c r="A581" t="str">
        <f>"674011787F"</f>
        <v>674011787F</v>
      </c>
      <c r="B581" t="str">
        <f>"02406911202"</f>
        <v>02406911202</v>
      </c>
      <c r="C581" t="s">
        <v>13</v>
      </c>
      <c r="D581" t="s">
        <v>30</v>
      </c>
      <c r="E581" t="s">
        <v>725</v>
      </c>
      <c r="F581" t="s">
        <v>32</v>
      </c>
      <c r="G581" t="str">
        <f>"00420240376"</f>
        <v>00420240376</v>
      </c>
      <c r="I581" t="s">
        <v>292</v>
      </c>
      <c r="L581" t="s">
        <v>34</v>
      </c>
      <c r="M581">
        <v>145500</v>
      </c>
      <c r="O581">
        <v>145500</v>
      </c>
      <c r="AC581" t="s">
        <v>290</v>
      </c>
    </row>
    <row r="582" spans="1:29" ht="12.75">
      <c r="A582" t="str">
        <f>"6635930EA8"</f>
        <v>6635930EA8</v>
      </c>
      <c r="B582" t="str">
        <f>"02406911202"</f>
        <v>02406911202</v>
      </c>
      <c r="C582" t="s">
        <v>13</v>
      </c>
      <c r="D582" t="s">
        <v>30</v>
      </c>
      <c r="E582" t="s">
        <v>726</v>
      </c>
      <c r="F582" t="s">
        <v>32</v>
      </c>
      <c r="G582" t="str">
        <f>"08114080156"</f>
        <v>08114080156</v>
      </c>
      <c r="I582" t="s">
        <v>474</v>
      </c>
      <c r="L582" t="s">
        <v>34</v>
      </c>
      <c r="M582">
        <v>658825</v>
      </c>
      <c r="O582">
        <v>658825</v>
      </c>
      <c r="AA582" t="s">
        <v>39</v>
      </c>
      <c r="AB582" t="s">
        <v>727</v>
      </c>
      <c r="AC582" t="s">
        <v>728</v>
      </c>
    </row>
    <row r="583" spans="1:29" ht="12.75">
      <c r="A583" t="str">
        <f>"6784267A3A"</f>
        <v>6784267A3A</v>
      </c>
      <c r="B583" t="str">
        <f>"02406911202"</f>
        <v>02406911202</v>
      </c>
      <c r="C583" t="s">
        <v>13</v>
      </c>
      <c r="D583" t="s">
        <v>30</v>
      </c>
      <c r="E583" t="s">
        <v>729</v>
      </c>
      <c r="F583" t="s">
        <v>32</v>
      </c>
      <c r="G583" t="str">
        <f>"00264510207"</f>
        <v>00264510207</v>
      </c>
      <c r="I583" t="s">
        <v>730</v>
      </c>
      <c r="L583" t="s">
        <v>34</v>
      </c>
      <c r="M583">
        <v>161545.33</v>
      </c>
      <c r="N583">
        <v>54580</v>
      </c>
      <c r="O583">
        <v>97878.67</v>
      </c>
      <c r="P583">
        <v>2193.33</v>
      </c>
      <c r="Q583">
        <v>6893.33</v>
      </c>
      <c r="AC583" t="s">
        <v>731</v>
      </c>
    </row>
    <row r="584" spans="1:29" ht="12.75">
      <c r="A584" t="str">
        <f>"6664178DA5"</f>
        <v>6664178DA5</v>
      </c>
      <c r="B584" t="str">
        <f>"02406911202"</f>
        <v>02406911202</v>
      </c>
      <c r="C584" t="s">
        <v>13</v>
      </c>
      <c r="D584" t="s">
        <v>30</v>
      </c>
      <c r="E584" t="s">
        <v>732</v>
      </c>
      <c r="F584" t="s">
        <v>32</v>
      </c>
      <c r="G584" t="str">
        <f>"08082461008"</f>
        <v>08082461008</v>
      </c>
      <c r="I584" t="s">
        <v>69</v>
      </c>
      <c r="L584" t="s">
        <v>34</v>
      </c>
      <c r="M584">
        <v>63648</v>
      </c>
      <c r="N584">
        <v>49818</v>
      </c>
      <c r="S584">
        <v>13830</v>
      </c>
      <c r="AC584" t="s">
        <v>733</v>
      </c>
    </row>
    <row r="585" spans="1:29" ht="12.75">
      <c r="A585" t="str">
        <f>"66641896BB"</f>
        <v>66641896BB</v>
      </c>
      <c r="B585" t="str">
        <f>"02406911202"</f>
        <v>02406911202</v>
      </c>
      <c r="C585" t="s">
        <v>13</v>
      </c>
      <c r="D585" t="s">
        <v>30</v>
      </c>
      <c r="E585" t="s">
        <v>734</v>
      </c>
      <c r="F585" t="s">
        <v>32</v>
      </c>
      <c r="G585" t="str">
        <f>"00715550422"</f>
        <v>00715550422</v>
      </c>
      <c r="I585" t="s">
        <v>735</v>
      </c>
      <c r="L585" t="s">
        <v>34</v>
      </c>
      <c r="M585">
        <v>5824</v>
      </c>
      <c r="O585">
        <v>5824</v>
      </c>
      <c r="AC585" t="s">
        <v>733</v>
      </c>
    </row>
    <row r="586" spans="1:29" ht="12.75">
      <c r="A586" t="str">
        <f>"678815638A"</f>
        <v>678815638A</v>
      </c>
      <c r="B586" t="str">
        <f>"02406911202"</f>
        <v>02406911202</v>
      </c>
      <c r="C586" t="s">
        <v>13</v>
      </c>
      <c r="D586" t="s">
        <v>30</v>
      </c>
      <c r="E586" t="s">
        <v>736</v>
      </c>
      <c r="F586" t="s">
        <v>32</v>
      </c>
      <c r="G586" t="str">
        <f>"10994940152"</f>
        <v>10994940152</v>
      </c>
      <c r="I586" t="s">
        <v>257</v>
      </c>
      <c r="L586" t="s">
        <v>34</v>
      </c>
      <c r="M586">
        <v>62453.25</v>
      </c>
      <c r="O586">
        <v>62453.25</v>
      </c>
      <c r="AC586" t="s">
        <v>737</v>
      </c>
    </row>
    <row r="587" spans="1:29" ht="12.75">
      <c r="A587" t="str">
        <f>"67328668C8"</f>
        <v>67328668C8</v>
      </c>
      <c r="B587" t="str">
        <f>"02406911202"</f>
        <v>02406911202</v>
      </c>
      <c r="C587" t="s">
        <v>13</v>
      </c>
      <c r="D587" t="s">
        <v>30</v>
      </c>
      <c r="E587" t="s">
        <v>738</v>
      </c>
      <c r="F587" t="s">
        <v>32</v>
      </c>
      <c r="G587" t="str">
        <f>"00323310375"</f>
        <v>00323310375</v>
      </c>
      <c r="I587" t="s">
        <v>271</v>
      </c>
      <c r="L587" t="s">
        <v>91</v>
      </c>
      <c r="AC587" t="s">
        <v>290</v>
      </c>
    </row>
    <row r="588" spans="1:29" ht="12.75">
      <c r="A588" t="str">
        <f>"0000000004"</f>
        <v>0000000004</v>
      </c>
      <c r="B588" t="str">
        <f>"02406911202"</f>
        <v>02406911202</v>
      </c>
      <c r="C588" t="s">
        <v>13</v>
      </c>
      <c r="D588" t="s">
        <v>30</v>
      </c>
      <c r="E588" t="s">
        <v>739</v>
      </c>
      <c r="F588" t="s">
        <v>557</v>
      </c>
      <c r="G588" t="str">
        <f>"02770891204"</f>
        <v>02770891204</v>
      </c>
      <c r="I588" t="s">
        <v>740</v>
      </c>
      <c r="L588" t="s">
        <v>34</v>
      </c>
      <c r="M588">
        <v>298950</v>
      </c>
      <c r="N588">
        <v>192600</v>
      </c>
      <c r="O588">
        <v>106350</v>
      </c>
      <c r="AC588" t="s">
        <v>741</v>
      </c>
    </row>
    <row r="589" spans="1:29" ht="12.75">
      <c r="A589" t="str">
        <f>"65113518D2"</f>
        <v>65113518D2</v>
      </c>
      <c r="B589" t="str">
        <f>"02406911202"</f>
        <v>02406911202</v>
      </c>
      <c r="C589" t="s">
        <v>13</v>
      </c>
      <c r="D589" t="s">
        <v>30</v>
      </c>
      <c r="E589" t="s">
        <v>742</v>
      </c>
      <c r="F589" t="s">
        <v>32</v>
      </c>
      <c r="M589">
        <v>260000</v>
      </c>
      <c r="AA589" t="s">
        <v>743</v>
      </c>
      <c r="AB589" t="s">
        <v>744</v>
      </c>
      <c r="AC589" t="s">
        <v>743</v>
      </c>
    </row>
    <row r="590" spans="1:29" ht="12.75">
      <c r="A590" t="str">
        <f>"665270737D"</f>
        <v>665270737D</v>
      </c>
      <c r="B590" t="str">
        <f>"02406911202"</f>
        <v>02406911202</v>
      </c>
      <c r="C590" t="s">
        <v>13</v>
      </c>
      <c r="D590" t="s">
        <v>30</v>
      </c>
      <c r="E590" t="s">
        <v>745</v>
      </c>
      <c r="F590" t="s">
        <v>32</v>
      </c>
      <c r="G590" t="str">
        <f>"05908410961"</f>
        <v>05908410961</v>
      </c>
      <c r="I590" t="s">
        <v>746</v>
      </c>
      <c r="L590" t="s">
        <v>91</v>
      </c>
      <c r="AC590" t="s">
        <v>60</v>
      </c>
    </row>
    <row r="591" spans="1:29" ht="12.75">
      <c r="A591" t="str">
        <f>"665270737D"</f>
        <v>665270737D</v>
      </c>
      <c r="B591" t="str">
        <f>"02406911202"</f>
        <v>02406911202</v>
      </c>
      <c r="C591" t="s">
        <v>13</v>
      </c>
      <c r="D591" t="s">
        <v>30</v>
      </c>
      <c r="E591" t="s">
        <v>745</v>
      </c>
      <c r="F591" t="s">
        <v>32</v>
      </c>
      <c r="G591" t="str">
        <f>"00660040528"</f>
        <v>00660040528</v>
      </c>
      <c r="I591" t="s">
        <v>747</v>
      </c>
      <c r="L591" t="s">
        <v>91</v>
      </c>
      <c r="AC591" t="s">
        <v>60</v>
      </c>
    </row>
    <row r="592" spans="1:29" ht="12.75">
      <c r="A592" t="str">
        <f>"665270737D"</f>
        <v>665270737D</v>
      </c>
      <c r="B592" t="str">
        <f>"02406911202"</f>
        <v>02406911202</v>
      </c>
      <c r="C592" t="s">
        <v>13</v>
      </c>
      <c r="D592" t="s">
        <v>30</v>
      </c>
      <c r="E592" t="s">
        <v>745</v>
      </c>
      <c r="F592" t="s">
        <v>32</v>
      </c>
      <c r="G592" t="str">
        <f>"02481080964"</f>
        <v>02481080964</v>
      </c>
      <c r="I592" t="s">
        <v>94</v>
      </c>
      <c r="L592" t="s">
        <v>91</v>
      </c>
      <c r="AC592" t="s">
        <v>60</v>
      </c>
    </row>
    <row r="593" spans="1:29" ht="12.75">
      <c r="A593" t="str">
        <f>"665270737D"</f>
        <v>665270737D</v>
      </c>
      <c r="B593" t="str">
        <f>"02406911202"</f>
        <v>02406911202</v>
      </c>
      <c r="C593" t="s">
        <v>13</v>
      </c>
      <c r="D593" t="s">
        <v>30</v>
      </c>
      <c r="E593" t="s">
        <v>745</v>
      </c>
      <c r="F593" t="s">
        <v>32</v>
      </c>
      <c r="G593" t="str">
        <f>"03216320543"</f>
        <v>03216320543</v>
      </c>
      <c r="I593" t="s">
        <v>748</v>
      </c>
      <c r="L593" t="s">
        <v>34</v>
      </c>
      <c r="M593">
        <v>208000</v>
      </c>
      <c r="N593">
        <v>10000</v>
      </c>
      <c r="O593">
        <v>120000</v>
      </c>
      <c r="P593">
        <v>30000</v>
      </c>
      <c r="Q593">
        <v>20000</v>
      </c>
      <c r="R593">
        <v>10000</v>
      </c>
      <c r="S593">
        <v>18000</v>
      </c>
      <c r="AC593" t="s">
        <v>60</v>
      </c>
    </row>
    <row r="594" spans="1:29" ht="12.75">
      <c r="A594" t="str">
        <f>"665270737D"</f>
        <v>665270737D</v>
      </c>
      <c r="B594" t="str">
        <f>"02406911202"</f>
        <v>02406911202</v>
      </c>
      <c r="C594" t="s">
        <v>13</v>
      </c>
      <c r="D594" t="s">
        <v>30</v>
      </c>
      <c r="E594" t="s">
        <v>745</v>
      </c>
      <c r="F594" t="s">
        <v>32</v>
      </c>
      <c r="G594" t="str">
        <f>"00934960352"</f>
        <v>00934960352</v>
      </c>
      <c r="I594" t="s">
        <v>749</v>
      </c>
      <c r="L594" t="s">
        <v>91</v>
      </c>
      <c r="AC594" t="s">
        <v>60</v>
      </c>
    </row>
    <row r="595" spans="1:29" ht="12.75">
      <c r="A595" t="str">
        <f>"665270737D"</f>
        <v>665270737D</v>
      </c>
      <c r="B595" t="str">
        <f>"02406911202"</f>
        <v>02406911202</v>
      </c>
      <c r="C595" t="s">
        <v>13</v>
      </c>
      <c r="D595" t="s">
        <v>30</v>
      </c>
      <c r="E595" t="s">
        <v>745</v>
      </c>
      <c r="F595" t="s">
        <v>32</v>
      </c>
      <c r="G595" t="str">
        <f>"03789191008"</f>
        <v>03789191008</v>
      </c>
      <c r="I595" t="s">
        <v>750</v>
      </c>
      <c r="L595" t="s">
        <v>91</v>
      </c>
      <c r="AC595" t="s">
        <v>60</v>
      </c>
    </row>
    <row r="596" spans="1:29" ht="12.75">
      <c r="A596" t="str">
        <f>"6741456979"</f>
        <v>6741456979</v>
      </c>
      <c r="B596" t="str">
        <f>"02406911202"</f>
        <v>02406911202</v>
      </c>
      <c r="C596" t="s">
        <v>13</v>
      </c>
      <c r="D596" t="s">
        <v>30</v>
      </c>
      <c r="E596" t="s">
        <v>751</v>
      </c>
      <c r="F596" t="s">
        <v>32</v>
      </c>
      <c r="G596" t="str">
        <f>"01177620299"</f>
        <v>01177620299</v>
      </c>
      <c r="I596" t="s">
        <v>182</v>
      </c>
      <c r="L596" t="s">
        <v>34</v>
      </c>
      <c r="M596">
        <v>4674</v>
      </c>
      <c r="N596">
        <v>3280</v>
      </c>
      <c r="O596">
        <v>410</v>
      </c>
      <c r="Q596">
        <v>984</v>
      </c>
      <c r="AC596" t="s">
        <v>290</v>
      </c>
    </row>
    <row r="597" spans="1:29" ht="12.75">
      <c r="A597" t="str">
        <f>"67414650E9"</f>
        <v>67414650E9</v>
      </c>
      <c r="B597" t="str">
        <f>"02406911202"</f>
        <v>02406911202</v>
      </c>
      <c r="C597" t="s">
        <v>13</v>
      </c>
      <c r="D597" t="s">
        <v>30</v>
      </c>
      <c r="E597" t="s">
        <v>752</v>
      </c>
      <c r="F597" t="s">
        <v>32</v>
      </c>
      <c r="G597" t="str">
        <f>"03912680372"</f>
        <v>03912680372</v>
      </c>
      <c r="I597" t="s">
        <v>186</v>
      </c>
      <c r="L597" t="s">
        <v>34</v>
      </c>
      <c r="M597">
        <v>27667.5</v>
      </c>
      <c r="N597">
        <v>13950</v>
      </c>
      <c r="O597">
        <v>8137.5</v>
      </c>
      <c r="Q597">
        <v>5580</v>
      </c>
      <c r="AC597" t="s">
        <v>290</v>
      </c>
    </row>
    <row r="598" spans="1:29" ht="12.75">
      <c r="A598" t="str">
        <f>"6741474854"</f>
        <v>6741474854</v>
      </c>
      <c r="B598" t="str">
        <f>"02406911202"</f>
        <v>02406911202</v>
      </c>
      <c r="C598" t="s">
        <v>13</v>
      </c>
      <c r="D598" t="s">
        <v>30</v>
      </c>
      <c r="E598" t="s">
        <v>753</v>
      </c>
      <c r="F598" t="s">
        <v>32</v>
      </c>
      <c r="G598" t="str">
        <f>"04874870878"</f>
        <v>04874870878</v>
      </c>
      <c r="I598" t="s">
        <v>754</v>
      </c>
      <c r="L598" t="s">
        <v>34</v>
      </c>
      <c r="M598">
        <v>23730</v>
      </c>
      <c r="N598">
        <v>16102.5</v>
      </c>
      <c r="O598">
        <v>3729</v>
      </c>
      <c r="Q598">
        <v>3898.5</v>
      </c>
      <c r="AC598" t="s">
        <v>290</v>
      </c>
    </row>
    <row r="599" spans="1:29" ht="12.75">
      <c r="A599" t="str">
        <f>"6696749C16"</f>
        <v>6696749C16</v>
      </c>
      <c r="B599" t="str">
        <f>"02406911202"</f>
        <v>02406911202</v>
      </c>
      <c r="C599" t="s">
        <v>13</v>
      </c>
      <c r="D599" t="s">
        <v>30</v>
      </c>
      <c r="E599" t="s">
        <v>755</v>
      </c>
      <c r="F599" t="s">
        <v>188</v>
      </c>
      <c r="M599">
        <v>18000</v>
      </c>
      <c r="AC599" t="s">
        <v>756</v>
      </c>
    </row>
    <row r="600" spans="1:29" ht="12.75">
      <c r="A600" t="str">
        <f>"6786726776"</f>
        <v>6786726776</v>
      </c>
      <c r="B600" t="str">
        <f>"02406911202"</f>
        <v>02406911202</v>
      </c>
      <c r="C600" t="s">
        <v>13</v>
      </c>
      <c r="D600" t="s">
        <v>30</v>
      </c>
      <c r="E600" t="s">
        <v>757</v>
      </c>
      <c r="F600" t="s">
        <v>32</v>
      </c>
      <c r="H600" t="str">
        <f>"FR314176265"</f>
        <v>FR314176265</v>
      </c>
      <c r="I600" t="s">
        <v>758</v>
      </c>
      <c r="L600" t="s">
        <v>34</v>
      </c>
      <c r="M600">
        <v>185012</v>
      </c>
      <c r="N600">
        <v>78056</v>
      </c>
      <c r="O600">
        <v>82207</v>
      </c>
      <c r="Q600">
        <v>1562</v>
      </c>
      <c r="S600">
        <v>23187</v>
      </c>
      <c r="AC600" t="s">
        <v>759</v>
      </c>
    </row>
    <row r="601" spans="1:30" ht="12.75">
      <c r="A601" t="str">
        <f>"67839894D2"</f>
        <v>67839894D2</v>
      </c>
      <c r="B601" t="str">
        <f>"02406911202"</f>
        <v>02406911202</v>
      </c>
      <c r="C601" t="s">
        <v>13</v>
      </c>
      <c r="D601" t="s">
        <v>30</v>
      </c>
      <c r="E601" t="s">
        <v>760</v>
      </c>
      <c r="F601" t="s">
        <v>32</v>
      </c>
      <c r="G601" t="str">
        <f>"01201040423"</f>
        <v>01201040423</v>
      </c>
      <c r="I601" t="s">
        <v>761</v>
      </c>
      <c r="L601" t="s">
        <v>34</v>
      </c>
      <c r="M601">
        <v>0</v>
      </c>
      <c r="S601">
        <v>0</v>
      </c>
      <c r="AC601" t="s">
        <v>731</v>
      </c>
      <c r="AD601" t="s">
        <v>762</v>
      </c>
    </row>
    <row r="602" spans="1:29" ht="12.75">
      <c r="A602" t="str">
        <f>"6783996A97"</f>
        <v>6783996A97</v>
      </c>
      <c r="B602" t="str">
        <f>"02406911202"</f>
        <v>02406911202</v>
      </c>
      <c r="C602" t="s">
        <v>13</v>
      </c>
      <c r="D602" t="s">
        <v>30</v>
      </c>
      <c r="E602" t="s">
        <v>763</v>
      </c>
      <c r="F602" t="s">
        <v>32</v>
      </c>
      <c r="G602" t="str">
        <f>"06324460150"</f>
        <v>06324460150</v>
      </c>
      <c r="I602" t="s">
        <v>357</v>
      </c>
      <c r="L602" t="s">
        <v>34</v>
      </c>
      <c r="M602">
        <v>9280</v>
      </c>
      <c r="N602">
        <v>9280</v>
      </c>
      <c r="AC602" t="s">
        <v>731</v>
      </c>
    </row>
    <row r="603" spans="1:29" ht="12.75">
      <c r="A603" t="str">
        <f>"6783997B64"</f>
        <v>6783997B64</v>
      </c>
      <c r="B603" t="str">
        <f>"02406911202"</f>
        <v>02406911202</v>
      </c>
      <c r="C603" t="s">
        <v>13</v>
      </c>
      <c r="D603" t="s">
        <v>30</v>
      </c>
      <c r="E603" t="s">
        <v>764</v>
      </c>
      <c r="F603" t="s">
        <v>32</v>
      </c>
      <c r="G603" t="str">
        <f>"08864080158"</f>
        <v>08864080158</v>
      </c>
      <c r="I603" t="s">
        <v>138</v>
      </c>
      <c r="L603" t="s">
        <v>34</v>
      </c>
      <c r="M603">
        <v>15185</v>
      </c>
      <c r="N603">
        <v>15185</v>
      </c>
      <c r="AC603" t="s">
        <v>731</v>
      </c>
    </row>
    <row r="604" spans="1:29" ht="12.75">
      <c r="A604" t="str">
        <f>"6563184EC2"</f>
        <v>6563184EC2</v>
      </c>
      <c r="B604" t="str">
        <f>"02406911202"</f>
        <v>02406911202</v>
      </c>
      <c r="C604" t="s">
        <v>13</v>
      </c>
      <c r="D604" t="s">
        <v>30</v>
      </c>
      <c r="E604" t="s">
        <v>765</v>
      </c>
      <c r="F604" t="s">
        <v>188</v>
      </c>
      <c r="G604" t="str">
        <f>"03524050238"</f>
        <v>03524050238</v>
      </c>
      <c r="I604" t="s">
        <v>766</v>
      </c>
      <c r="L604" t="s">
        <v>34</v>
      </c>
      <c r="M604">
        <v>702756</v>
      </c>
      <c r="O604">
        <v>702756</v>
      </c>
      <c r="AC604" t="s">
        <v>767</v>
      </c>
    </row>
    <row r="605" spans="1:29" ht="12.75">
      <c r="A605" t="str">
        <f>"6563184EC2"</f>
        <v>6563184EC2</v>
      </c>
      <c r="B605" t="str">
        <f>"02406911202"</f>
        <v>02406911202</v>
      </c>
      <c r="C605" t="s">
        <v>13</v>
      </c>
      <c r="D605" t="s">
        <v>30</v>
      </c>
      <c r="E605" t="s">
        <v>765</v>
      </c>
      <c r="F605" t="s">
        <v>188</v>
      </c>
      <c r="G605" t="str">
        <f>"10923790157"</f>
        <v>10923790157</v>
      </c>
      <c r="I605" t="s">
        <v>768</v>
      </c>
      <c r="L605" t="s">
        <v>91</v>
      </c>
      <c r="AC605" t="s">
        <v>767</v>
      </c>
    </row>
    <row r="606" spans="1:29" ht="12.75">
      <c r="A606" t="str">
        <f>"6563184EC2"</f>
        <v>6563184EC2</v>
      </c>
      <c r="B606" t="str">
        <f>"02406911202"</f>
        <v>02406911202</v>
      </c>
      <c r="C606" t="s">
        <v>13</v>
      </c>
      <c r="D606" t="s">
        <v>30</v>
      </c>
      <c r="E606" t="s">
        <v>765</v>
      </c>
      <c r="F606" t="s">
        <v>188</v>
      </c>
      <c r="G606" t="str">
        <f>"02975440369"</f>
        <v>02975440369</v>
      </c>
      <c r="I606" t="s">
        <v>769</v>
      </c>
      <c r="L606" t="s">
        <v>91</v>
      </c>
      <c r="AC606" t="s">
        <v>767</v>
      </c>
    </row>
    <row r="607" spans="1:29" ht="12.75">
      <c r="A607" t="str">
        <f>"6779502E05"</f>
        <v>6779502E05</v>
      </c>
      <c r="B607" t="str">
        <f>"02406911202"</f>
        <v>02406911202</v>
      </c>
      <c r="C607" t="s">
        <v>13</v>
      </c>
      <c r="D607" t="s">
        <v>30</v>
      </c>
      <c r="E607" t="s">
        <v>770</v>
      </c>
      <c r="F607" t="s">
        <v>32</v>
      </c>
      <c r="G607" t="str">
        <f>"02196770131"</f>
        <v>02196770131</v>
      </c>
      <c r="I607" t="s">
        <v>771</v>
      </c>
      <c r="L607" t="s">
        <v>34</v>
      </c>
      <c r="M607">
        <v>53970</v>
      </c>
      <c r="O607">
        <v>53970</v>
      </c>
      <c r="AC607" t="s">
        <v>772</v>
      </c>
    </row>
    <row r="608" spans="1:29" ht="12.75">
      <c r="A608" t="str">
        <f>"6806370A33"</f>
        <v>6806370A33</v>
      </c>
      <c r="B608" t="str">
        <f>"02406911202"</f>
        <v>02406911202</v>
      </c>
      <c r="C608" t="s">
        <v>13</v>
      </c>
      <c r="D608" t="s">
        <v>30</v>
      </c>
      <c r="E608" t="s">
        <v>773</v>
      </c>
      <c r="F608" t="s">
        <v>46</v>
      </c>
      <c r="G608" t="str">
        <f>"00100190610"</f>
        <v>00100190610</v>
      </c>
      <c r="I608" t="s">
        <v>688</v>
      </c>
      <c r="L608" t="s">
        <v>34</v>
      </c>
      <c r="M608">
        <v>192451</v>
      </c>
      <c r="O608">
        <v>186145</v>
      </c>
      <c r="Q608">
        <v>6306</v>
      </c>
      <c r="AC608" t="s">
        <v>774</v>
      </c>
    </row>
    <row r="609" spans="1:29" ht="12.75">
      <c r="A609" t="str">
        <f>"0000000006"</f>
        <v>0000000006</v>
      </c>
      <c r="B609" t="str">
        <f>"02406911202"</f>
        <v>02406911202</v>
      </c>
      <c r="C609" t="s">
        <v>13</v>
      </c>
      <c r="D609" t="s">
        <v>30</v>
      </c>
      <c r="E609" t="s">
        <v>775</v>
      </c>
      <c r="F609" t="s">
        <v>557</v>
      </c>
      <c r="G609" t="str">
        <f>"02770891204"</f>
        <v>02770891204</v>
      </c>
      <c r="I609" t="s">
        <v>740</v>
      </c>
      <c r="L609" t="s">
        <v>34</v>
      </c>
      <c r="M609">
        <v>298950</v>
      </c>
      <c r="N609">
        <v>192600</v>
      </c>
      <c r="O609">
        <v>106350</v>
      </c>
      <c r="AC609" t="s">
        <v>776</v>
      </c>
    </row>
    <row r="610" spans="1:29" ht="12.75">
      <c r="A610" t="str">
        <f>"670524600C"</f>
        <v>670524600C</v>
      </c>
      <c r="B610" t="str">
        <f>"02406911202"</f>
        <v>02406911202</v>
      </c>
      <c r="C610" t="s">
        <v>13</v>
      </c>
      <c r="D610" t="s">
        <v>30</v>
      </c>
      <c r="E610" t="s">
        <v>777</v>
      </c>
      <c r="F610" t="s">
        <v>32</v>
      </c>
      <c r="G610" t="str">
        <f>"12693140159"</f>
        <v>12693140159</v>
      </c>
      <c r="I610" t="s">
        <v>778</v>
      </c>
      <c r="L610" t="s">
        <v>34</v>
      </c>
      <c r="M610">
        <v>57400</v>
      </c>
      <c r="N610">
        <v>41000</v>
      </c>
      <c r="O610">
        <v>16400</v>
      </c>
      <c r="AC610" t="s">
        <v>35</v>
      </c>
    </row>
    <row r="611" spans="1:29" ht="12.75">
      <c r="A611" t="str">
        <f>"6691312557"</f>
        <v>6691312557</v>
      </c>
      <c r="B611" t="str">
        <f>"02406911202"</f>
        <v>02406911202</v>
      </c>
      <c r="C611" t="s">
        <v>13</v>
      </c>
      <c r="D611" t="s">
        <v>30</v>
      </c>
      <c r="E611" t="s">
        <v>779</v>
      </c>
      <c r="F611" t="s">
        <v>408</v>
      </c>
      <c r="G611" t="str">
        <f>"03524050238"</f>
        <v>03524050238</v>
      </c>
      <c r="I611" t="s">
        <v>766</v>
      </c>
      <c r="L611" t="s">
        <v>34</v>
      </c>
      <c r="M611">
        <v>106080</v>
      </c>
      <c r="N611">
        <v>104000</v>
      </c>
      <c r="O611">
        <v>2080</v>
      </c>
      <c r="AC611" t="s">
        <v>80</v>
      </c>
    </row>
    <row r="612" spans="1:29" ht="12.75">
      <c r="A612" t="str">
        <f>"668070542B"</f>
        <v>668070542B</v>
      </c>
      <c r="B612" t="str">
        <f>"02406911202"</f>
        <v>02406911202</v>
      </c>
      <c r="C612" t="s">
        <v>13</v>
      </c>
      <c r="D612" t="s">
        <v>30</v>
      </c>
      <c r="E612" t="s">
        <v>780</v>
      </c>
      <c r="F612" t="s">
        <v>408</v>
      </c>
      <c r="G612" t="str">
        <f>"03328440270"</f>
        <v>03328440270</v>
      </c>
      <c r="I612" t="s">
        <v>781</v>
      </c>
      <c r="L612" t="s">
        <v>34</v>
      </c>
      <c r="M612">
        <v>36540.48</v>
      </c>
      <c r="N612">
        <v>960</v>
      </c>
      <c r="O612">
        <v>28273.08</v>
      </c>
      <c r="P612">
        <v>6608.4</v>
      </c>
      <c r="Q612">
        <v>699</v>
      </c>
      <c r="AC612" t="s">
        <v>741</v>
      </c>
    </row>
    <row r="613" spans="1:29" ht="12.75">
      <c r="A613" t="str">
        <f>"668070542B"</f>
        <v>668070542B</v>
      </c>
      <c r="B613" t="str">
        <f>"02406911202"</f>
        <v>02406911202</v>
      </c>
      <c r="C613" t="s">
        <v>13</v>
      </c>
      <c r="D613" t="s">
        <v>30</v>
      </c>
      <c r="E613" t="s">
        <v>780</v>
      </c>
      <c r="F613" t="s">
        <v>408</v>
      </c>
      <c r="G613" t="str">
        <f>"00805390283"</f>
        <v>00805390283</v>
      </c>
      <c r="I613" t="s">
        <v>415</v>
      </c>
      <c r="L613" t="s">
        <v>91</v>
      </c>
      <c r="AC613" t="s">
        <v>741</v>
      </c>
    </row>
    <row r="614" spans="1:29" ht="12.75">
      <c r="A614" t="str">
        <f>"668070542B"</f>
        <v>668070542B</v>
      </c>
      <c r="B614" t="str">
        <f>"02406911202"</f>
        <v>02406911202</v>
      </c>
      <c r="C614" t="s">
        <v>13</v>
      </c>
      <c r="D614" t="s">
        <v>30</v>
      </c>
      <c r="E614" t="s">
        <v>780</v>
      </c>
      <c r="F614" t="s">
        <v>408</v>
      </c>
      <c r="G614" t="str">
        <f>"12864800151"</f>
        <v>12864800151</v>
      </c>
      <c r="I614" t="s">
        <v>782</v>
      </c>
      <c r="L614" t="s">
        <v>91</v>
      </c>
      <c r="AC614" t="s">
        <v>741</v>
      </c>
    </row>
    <row r="615" spans="1:29" ht="12.75">
      <c r="A615" t="str">
        <f>"668070542B"</f>
        <v>668070542B</v>
      </c>
      <c r="B615" t="str">
        <f>"02406911202"</f>
        <v>02406911202</v>
      </c>
      <c r="C615" t="s">
        <v>13</v>
      </c>
      <c r="D615" t="s">
        <v>30</v>
      </c>
      <c r="E615" t="s">
        <v>780</v>
      </c>
      <c r="F615" t="s">
        <v>408</v>
      </c>
      <c r="G615" t="str">
        <f>"00157770363"</f>
        <v>00157770363</v>
      </c>
      <c r="I615" t="s">
        <v>783</v>
      </c>
      <c r="L615" t="s">
        <v>91</v>
      </c>
      <c r="AC615" t="s">
        <v>741</v>
      </c>
    </row>
    <row r="616" spans="1:29" ht="12.75">
      <c r="A616" t="str">
        <f>"6680709777"</f>
        <v>6680709777</v>
      </c>
      <c r="B616" t="str">
        <f>"02406911202"</f>
        <v>02406911202</v>
      </c>
      <c r="C616" t="s">
        <v>13</v>
      </c>
      <c r="D616" t="s">
        <v>30</v>
      </c>
      <c r="E616" t="s">
        <v>784</v>
      </c>
      <c r="F616" t="s">
        <v>408</v>
      </c>
      <c r="G616" t="str">
        <f>"00805390283"</f>
        <v>00805390283</v>
      </c>
      <c r="I616" t="s">
        <v>415</v>
      </c>
      <c r="L616" t="s">
        <v>34</v>
      </c>
      <c r="M616">
        <v>58960.5</v>
      </c>
      <c r="N616">
        <v>26173.12</v>
      </c>
      <c r="O616">
        <v>28597.05</v>
      </c>
      <c r="Q616">
        <v>4190.33</v>
      </c>
      <c r="AC616" t="s">
        <v>136</v>
      </c>
    </row>
    <row r="617" spans="1:29" ht="12.75">
      <c r="A617" t="str">
        <f>"6680709777"</f>
        <v>6680709777</v>
      </c>
      <c r="B617" t="str">
        <f>"02406911202"</f>
        <v>02406911202</v>
      </c>
      <c r="C617" t="s">
        <v>13</v>
      </c>
      <c r="D617" t="s">
        <v>30</v>
      </c>
      <c r="E617" t="s">
        <v>784</v>
      </c>
      <c r="F617" t="s">
        <v>408</v>
      </c>
      <c r="G617" t="str">
        <f>"02705540165"</f>
        <v>02705540165</v>
      </c>
      <c r="I617" t="s">
        <v>268</v>
      </c>
      <c r="L617" t="s">
        <v>91</v>
      </c>
      <c r="AC617" t="s">
        <v>136</v>
      </c>
    </row>
    <row r="618" spans="1:29" ht="12.75">
      <c r="A618" t="str">
        <f>"6680709777"</f>
        <v>6680709777</v>
      </c>
      <c r="B618" t="str">
        <f>"02406911202"</f>
        <v>02406911202</v>
      </c>
      <c r="C618" t="s">
        <v>13</v>
      </c>
      <c r="D618" t="s">
        <v>30</v>
      </c>
      <c r="E618" t="s">
        <v>784</v>
      </c>
      <c r="F618" t="s">
        <v>408</v>
      </c>
      <c r="G618" t="str">
        <f>"06754140157"</f>
        <v>06754140157</v>
      </c>
      <c r="I618" t="s">
        <v>269</v>
      </c>
      <c r="L618" t="s">
        <v>91</v>
      </c>
      <c r="AC618" t="s">
        <v>136</v>
      </c>
    </row>
    <row r="619" spans="1:29" ht="12.75">
      <c r="A619" t="str">
        <f>"6680716D3C"</f>
        <v>6680716D3C</v>
      </c>
      <c r="B619" t="str">
        <f>"02406911202"</f>
        <v>02406911202</v>
      </c>
      <c r="C619" t="s">
        <v>13</v>
      </c>
      <c r="D619" t="s">
        <v>30</v>
      </c>
      <c r="E619" t="s">
        <v>785</v>
      </c>
      <c r="F619" t="s">
        <v>408</v>
      </c>
      <c r="G619" t="str">
        <f>"00805390283"</f>
        <v>00805390283</v>
      </c>
      <c r="I619" t="s">
        <v>415</v>
      </c>
      <c r="L619" t="s">
        <v>91</v>
      </c>
      <c r="AC619" t="s">
        <v>136</v>
      </c>
    </row>
    <row r="620" spans="1:29" ht="12.75">
      <c r="A620" t="str">
        <f>"6680716D3C"</f>
        <v>6680716D3C</v>
      </c>
      <c r="B620" t="str">
        <f>"02406911202"</f>
        <v>02406911202</v>
      </c>
      <c r="C620" t="s">
        <v>13</v>
      </c>
      <c r="D620" t="s">
        <v>30</v>
      </c>
      <c r="E620" t="s">
        <v>785</v>
      </c>
      <c r="F620" t="s">
        <v>408</v>
      </c>
      <c r="G620" t="str">
        <f>"12864800151"</f>
        <v>12864800151</v>
      </c>
      <c r="I620" t="s">
        <v>782</v>
      </c>
      <c r="L620" t="s">
        <v>91</v>
      </c>
      <c r="AC620" t="s">
        <v>136</v>
      </c>
    </row>
    <row r="621" spans="1:29" ht="12.75">
      <c r="A621" t="str">
        <f>"6680716D3C"</f>
        <v>6680716D3C</v>
      </c>
      <c r="B621" t="str">
        <f>"02406911202"</f>
        <v>02406911202</v>
      </c>
      <c r="C621" t="s">
        <v>13</v>
      </c>
      <c r="D621" t="s">
        <v>30</v>
      </c>
      <c r="E621" t="s">
        <v>785</v>
      </c>
      <c r="F621" t="s">
        <v>408</v>
      </c>
      <c r="G621" t="str">
        <f>"00157770363"</f>
        <v>00157770363</v>
      </c>
      <c r="I621" t="s">
        <v>783</v>
      </c>
      <c r="L621" t="s">
        <v>91</v>
      </c>
      <c r="AC621" t="s">
        <v>136</v>
      </c>
    </row>
    <row r="622" spans="1:29" ht="12.75">
      <c r="A622" t="str">
        <f>"6680716D3C"</f>
        <v>6680716D3C</v>
      </c>
      <c r="B622" t="str">
        <f>"02406911202"</f>
        <v>02406911202</v>
      </c>
      <c r="C622" t="s">
        <v>13</v>
      </c>
      <c r="D622" t="s">
        <v>30</v>
      </c>
      <c r="E622" t="s">
        <v>785</v>
      </c>
      <c r="F622" t="s">
        <v>408</v>
      </c>
      <c r="G622" t="str">
        <f>"13023610150"</f>
        <v>13023610150</v>
      </c>
      <c r="I622" t="s">
        <v>786</v>
      </c>
      <c r="L622" t="s">
        <v>34</v>
      </c>
      <c r="M622">
        <v>25934.4</v>
      </c>
      <c r="N622">
        <v>360</v>
      </c>
      <c r="O622">
        <v>25574.4</v>
      </c>
      <c r="AC622" t="s">
        <v>136</v>
      </c>
    </row>
    <row r="623" spans="1:29" ht="12.75">
      <c r="A623" t="str">
        <f>"6680719FB5"</f>
        <v>6680719FB5</v>
      </c>
      <c r="B623" t="str">
        <f>"02406911202"</f>
        <v>02406911202</v>
      </c>
      <c r="C623" t="s">
        <v>13</v>
      </c>
      <c r="D623" t="s">
        <v>30</v>
      </c>
      <c r="E623" t="s">
        <v>787</v>
      </c>
      <c r="F623" t="s">
        <v>408</v>
      </c>
      <c r="G623" t="str">
        <f>"02405040284"</f>
        <v>02405040284</v>
      </c>
      <c r="I623" t="s">
        <v>414</v>
      </c>
      <c r="L623" t="s">
        <v>34</v>
      </c>
      <c r="M623">
        <v>55191</v>
      </c>
      <c r="AC623" t="s">
        <v>136</v>
      </c>
    </row>
    <row r="624" spans="1:29" ht="12.75">
      <c r="A624" t="str">
        <f>"6680719FB5"</f>
        <v>6680719FB5</v>
      </c>
      <c r="B624" t="str">
        <f>"02406911202"</f>
        <v>02406911202</v>
      </c>
      <c r="C624" t="s">
        <v>13</v>
      </c>
      <c r="D624" t="s">
        <v>30</v>
      </c>
      <c r="E624" t="s">
        <v>787</v>
      </c>
      <c r="F624" t="s">
        <v>408</v>
      </c>
      <c r="G624" t="str">
        <f>"00805390283"</f>
        <v>00805390283</v>
      </c>
      <c r="I624" t="s">
        <v>415</v>
      </c>
      <c r="L624" t="s">
        <v>91</v>
      </c>
      <c r="AC624" t="s">
        <v>136</v>
      </c>
    </row>
    <row r="625" spans="1:29" ht="12.75">
      <c r="A625" t="str">
        <f>"6680719FB5"</f>
        <v>6680719FB5</v>
      </c>
      <c r="B625" t="str">
        <f>"02406911202"</f>
        <v>02406911202</v>
      </c>
      <c r="C625" t="s">
        <v>13</v>
      </c>
      <c r="D625" t="s">
        <v>30</v>
      </c>
      <c r="E625" t="s">
        <v>787</v>
      </c>
      <c r="F625" t="s">
        <v>408</v>
      </c>
      <c r="G625" t="str">
        <f>"12864800151"</f>
        <v>12864800151</v>
      </c>
      <c r="I625" t="s">
        <v>782</v>
      </c>
      <c r="L625" t="s">
        <v>91</v>
      </c>
      <c r="AC625" t="s">
        <v>136</v>
      </c>
    </row>
    <row r="626" spans="1:29" ht="12.75">
      <c r="A626" t="str">
        <f>"6747506A17"</f>
        <v>6747506A17</v>
      </c>
      <c r="B626" t="str">
        <f>"02406911202"</f>
        <v>02406911202</v>
      </c>
      <c r="C626" t="s">
        <v>13</v>
      </c>
      <c r="D626" t="s">
        <v>30</v>
      </c>
      <c r="E626" t="s">
        <v>788</v>
      </c>
      <c r="F626" t="s">
        <v>32</v>
      </c>
      <c r="G626" t="str">
        <f>"10994940152"</f>
        <v>10994940152</v>
      </c>
      <c r="I626" t="s">
        <v>257</v>
      </c>
      <c r="L626" t="s">
        <v>34</v>
      </c>
      <c r="M626">
        <v>160000</v>
      </c>
      <c r="Q626">
        <v>160000</v>
      </c>
      <c r="AC626" t="s">
        <v>287</v>
      </c>
    </row>
    <row r="627" spans="1:29" ht="12.75">
      <c r="A627" t="str">
        <f>"678288776B"</f>
        <v>678288776B</v>
      </c>
      <c r="B627" t="str">
        <f>"02406911202"</f>
        <v>02406911202</v>
      </c>
      <c r="C627" t="s">
        <v>13</v>
      </c>
      <c r="D627" t="s">
        <v>30</v>
      </c>
      <c r="E627" t="s">
        <v>789</v>
      </c>
      <c r="F627" t="s">
        <v>32</v>
      </c>
      <c r="G627" t="str">
        <f>"08126390155"</f>
        <v>08126390155</v>
      </c>
      <c r="I627" t="s">
        <v>790</v>
      </c>
      <c r="L627" t="s">
        <v>34</v>
      </c>
      <c r="M627">
        <v>11555.84</v>
      </c>
      <c r="O627">
        <v>11555.84</v>
      </c>
      <c r="AC627" t="s">
        <v>791</v>
      </c>
    </row>
    <row r="628" spans="1:29" ht="12.75">
      <c r="A628" t="str">
        <f>"666261322E"</f>
        <v>666261322E</v>
      </c>
      <c r="B628" t="str">
        <f>"02406911202"</f>
        <v>02406911202</v>
      </c>
      <c r="C628" t="s">
        <v>13</v>
      </c>
      <c r="D628" t="s">
        <v>30</v>
      </c>
      <c r="E628" t="s">
        <v>792</v>
      </c>
      <c r="F628" t="s">
        <v>188</v>
      </c>
      <c r="G628" t="str">
        <f>"02141120168"</f>
        <v>02141120168</v>
      </c>
      <c r="I628" t="s">
        <v>793</v>
      </c>
      <c r="L628" t="s">
        <v>91</v>
      </c>
      <c r="AC628" t="s">
        <v>202</v>
      </c>
    </row>
    <row r="629" spans="1:29" ht="12.75">
      <c r="A629" t="str">
        <f>"666261322E"</f>
        <v>666261322E</v>
      </c>
      <c r="B629" t="str">
        <f>"02406911202"</f>
        <v>02406911202</v>
      </c>
      <c r="C629" t="s">
        <v>13</v>
      </c>
      <c r="D629" t="s">
        <v>30</v>
      </c>
      <c r="E629" t="s">
        <v>792</v>
      </c>
      <c r="F629" t="s">
        <v>188</v>
      </c>
      <c r="G629" t="str">
        <f>"00794290676"</f>
        <v>00794290676</v>
      </c>
      <c r="I629" t="s">
        <v>794</v>
      </c>
      <c r="L629" t="s">
        <v>91</v>
      </c>
      <c r="AC629" t="s">
        <v>202</v>
      </c>
    </row>
    <row r="630" spans="1:29" ht="12.75">
      <c r="A630" t="str">
        <f>"675511406C"</f>
        <v>675511406C</v>
      </c>
      <c r="B630" t="str">
        <f>"02406911202"</f>
        <v>02406911202</v>
      </c>
      <c r="C630" t="s">
        <v>13</v>
      </c>
      <c r="D630" t="s">
        <v>30</v>
      </c>
      <c r="E630" t="s">
        <v>795</v>
      </c>
      <c r="F630" t="s">
        <v>32</v>
      </c>
      <c r="G630" t="str">
        <f>"01629650167"</f>
        <v>01629650167</v>
      </c>
      <c r="I630" t="s">
        <v>796</v>
      </c>
      <c r="L630" t="s">
        <v>34</v>
      </c>
      <c r="M630">
        <v>115000</v>
      </c>
      <c r="O630">
        <v>115000</v>
      </c>
      <c r="AC630" t="s">
        <v>797</v>
      </c>
    </row>
    <row r="631" spans="1:29" ht="12.75">
      <c r="A631" t="str">
        <f>"6773701AE3"</f>
        <v>6773701AE3</v>
      </c>
      <c r="B631" t="str">
        <f>"02406911202"</f>
        <v>02406911202</v>
      </c>
      <c r="C631" t="s">
        <v>13</v>
      </c>
      <c r="D631" t="s">
        <v>30</v>
      </c>
      <c r="E631" t="s">
        <v>798</v>
      </c>
      <c r="F631" t="s">
        <v>32</v>
      </c>
      <c r="G631" t="str">
        <f>"03992220966"</f>
        <v>03992220966</v>
      </c>
      <c r="I631" t="s">
        <v>168</v>
      </c>
      <c r="L631" t="s">
        <v>34</v>
      </c>
      <c r="M631">
        <v>89000</v>
      </c>
      <c r="O631">
        <v>89000</v>
      </c>
      <c r="AC631" t="s">
        <v>799</v>
      </c>
    </row>
    <row r="632" spans="1:29" ht="12.75">
      <c r="A632" t="str">
        <f>"6773701AE3"</f>
        <v>6773701AE3</v>
      </c>
      <c r="B632" t="str">
        <f>"02406911202"</f>
        <v>02406911202</v>
      </c>
      <c r="C632" t="s">
        <v>13</v>
      </c>
      <c r="D632" t="s">
        <v>30</v>
      </c>
      <c r="E632" t="s">
        <v>798</v>
      </c>
      <c r="F632" t="s">
        <v>32</v>
      </c>
      <c r="G632" t="str">
        <f>"03831290287"</f>
        <v>03831290287</v>
      </c>
      <c r="I632" t="s">
        <v>800</v>
      </c>
      <c r="L632" t="s">
        <v>91</v>
      </c>
      <c r="AC632" t="s">
        <v>799</v>
      </c>
    </row>
    <row r="633" spans="1:29" ht="12.75">
      <c r="A633" t="str">
        <f>"6773701AE3"</f>
        <v>6773701AE3</v>
      </c>
      <c r="B633" t="str">
        <f>"02406911202"</f>
        <v>02406911202</v>
      </c>
      <c r="C633" t="s">
        <v>13</v>
      </c>
      <c r="D633" t="s">
        <v>30</v>
      </c>
      <c r="E633" t="s">
        <v>798</v>
      </c>
      <c r="F633" t="s">
        <v>32</v>
      </c>
      <c r="G633" t="str">
        <f>"12572900152"</f>
        <v>12572900152</v>
      </c>
      <c r="I633" t="s">
        <v>704</v>
      </c>
      <c r="L633" t="s">
        <v>91</v>
      </c>
      <c r="AC633" t="s">
        <v>799</v>
      </c>
    </row>
    <row r="634" spans="1:29" ht="12.75">
      <c r="A634" t="str">
        <f>"6773701AE3"</f>
        <v>6773701AE3</v>
      </c>
      <c r="B634" t="str">
        <f>"02406911202"</f>
        <v>02406911202</v>
      </c>
      <c r="C634" t="s">
        <v>13</v>
      </c>
      <c r="D634" t="s">
        <v>30</v>
      </c>
      <c r="E634" t="s">
        <v>798</v>
      </c>
      <c r="F634" t="s">
        <v>32</v>
      </c>
      <c r="G634" t="str">
        <f>"00615480225"</f>
        <v>00615480225</v>
      </c>
      <c r="I634" t="s">
        <v>801</v>
      </c>
      <c r="L634" t="s">
        <v>91</v>
      </c>
      <c r="AC634" t="s">
        <v>799</v>
      </c>
    </row>
    <row r="635" spans="1:30" ht="12.75">
      <c r="A635" t="str">
        <f>"6770146537"</f>
        <v>6770146537</v>
      </c>
      <c r="B635" t="str">
        <f>"02406911202"</f>
        <v>02406911202</v>
      </c>
      <c r="C635" t="s">
        <v>13</v>
      </c>
      <c r="D635" t="s">
        <v>30</v>
      </c>
      <c r="E635" t="s">
        <v>802</v>
      </c>
      <c r="F635" t="s">
        <v>32</v>
      </c>
      <c r="G635" t="str">
        <f>"07146020586"</f>
        <v>07146020586</v>
      </c>
      <c r="I635" t="s">
        <v>316</v>
      </c>
      <c r="L635" t="s">
        <v>34</v>
      </c>
      <c r="M635">
        <v>41872</v>
      </c>
      <c r="O635">
        <v>41872</v>
      </c>
      <c r="AC635" t="s">
        <v>709</v>
      </c>
      <c r="AD635" t="s">
        <v>803</v>
      </c>
    </row>
    <row r="636" spans="1:29" ht="12.75">
      <c r="A636" t="str">
        <f>"68197435F4"</f>
        <v>68197435F4</v>
      </c>
      <c r="B636" t="str">
        <f>"02406911202"</f>
        <v>02406911202</v>
      </c>
      <c r="C636" t="s">
        <v>13</v>
      </c>
      <c r="D636" t="s">
        <v>30</v>
      </c>
      <c r="E636" t="s">
        <v>804</v>
      </c>
      <c r="F636" t="s">
        <v>32</v>
      </c>
      <c r="H636" t="str">
        <f>"DE815460271"</f>
        <v>DE815460271</v>
      </c>
      <c r="I636" t="s">
        <v>805</v>
      </c>
      <c r="L636" t="s">
        <v>34</v>
      </c>
      <c r="M636">
        <v>40320</v>
      </c>
      <c r="P636">
        <v>40320</v>
      </c>
      <c r="AC636" t="s">
        <v>806</v>
      </c>
    </row>
    <row r="637" spans="1:30" ht="12.75">
      <c r="A637" t="str">
        <f>"6680005283"</f>
        <v>6680005283</v>
      </c>
      <c r="B637" t="str">
        <f>"02406911202"</f>
        <v>02406911202</v>
      </c>
      <c r="C637" t="s">
        <v>13</v>
      </c>
      <c r="D637" t="s">
        <v>30</v>
      </c>
      <c r="E637" t="s">
        <v>807</v>
      </c>
      <c r="F637" t="s">
        <v>408</v>
      </c>
      <c r="G637" t="str">
        <f>"93027710016"</f>
        <v>93027710016</v>
      </c>
      <c r="I637" t="s">
        <v>265</v>
      </c>
      <c r="L637" t="s">
        <v>34</v>
      </c>
      <c r="M637">
        <v>47240</v>
      </c>
      <c r="N637">
        <v>47240</v>
      </c>
      <c r="AA637" t="s">
        <v>718</v>
      </c>
      <c r="AB637" t="s">
        <v>67</v>
      </c>
      <c r="AC637" t="s">
        <v>60</v>
      </c>
      <c r="AD637" t="s">
        <v>808</v>
      </c>
    </row>
    <row r="638" spans="1:30" ht="12.75">
      <c r="A638" t="str">
        <f>"6680005283"</f>
        <v>6680005283</v>
      </c>
      <c r="B638" t="str">
        <f>"02406911202"</f>
        <v>02406911202</v>
      </c>
      <c r="C638" t="s">
        <v>13</v>
      </c>
      <c r="D638" t="s">
        <v>30</v>
      </c>
      <c r="E638" t="s">
        <v>807</v>
      </c>
      <c r="F638" t="s">
        <v>408</v>
      </c>
      <c r="G638" t="str">
        <f>"05131180969"</f>
        <v>05131180969</v>
      </c>
      <c r="I638" t="s">
        <v>809</v>
      </c>
      <c r="L638" t="s">
        <v>91</v>
      </c>
      <c r="AC638" t="s">
        <v>60</v>
      </c>
      <c r="AD638" t="s">
        <v>808</v>
      </c>
    </row>
    <row r="639" spans="1:30" ht="12.75">
      <c r="A639" t="str">
        <f>"6680005283"</f>
        <v>6680005283</v>
      </c>
      <c r="B639" t="str">
        <f>"02406911202"</f>
        <v>02406911202</v>
      </c>
      <c r="C639" t="s">
        <v>13</v>
      </c>
      <c r="D639" t="s">
        <v>30</v>
      </c>
      <c r="E639" t="s">
        <v>807</v>
      </c>
      <c r="F639" t="s">
        <v>408</v>
      </c>
      <c r="G639" t="str">
        <f>"91155450371"</f>
        <v>91155450371</v>
      </c>
      <c r="I639" t="s">
        <v>106</v>
      </c>
      <c r="L639" t="s">
        <v>91</v>
      </c>
      <c r="AC639" t="s">
        <v>60</v>
      </c>
      <c r="AD639" t="s">
        <v>808</v>
      </c>
    </row>
    <row r="640" spans="1:30" ht="12.75">
      <c r="A640" t="str">
        <f>"6680005283"</f>
        <v>6680005283</v>
      </c>
      <c r="B640" t="str">
        <f>"02406911202"</f>
        <v>02406911202</v>
      </c>
      <c r="C640" t="s">
        <v>13</v>
      </c>
      <c r="D640" t="s">
        <v>30</v>
      </c>
      <c r="E640" t="s">
        <v>807</v>
      </c>
      <c r="F640" t="s">
        <v>408</v>
      </c>
      <c r="G640" t="str">
        <f>"03896820374"</f>
        <v>03896820374</v>
      </c>
      <c r="I640" t="s">
        <v>810</v>
      </c>
      <c r="L640" t="s">
        <v>91</v>
      </c>
      <c r="AC640" t="s">
        <v>60</v>
      </c>
      <c r="AD640" t="s">
        <v>808</v>
      </c>
    </row>
    <row r="641" spans="1:30" ht="12.75">
      <c r="A641" t="str">
        <f>"6680005283"</f>
        <v>6680005283</v>
      </c>
      <c r="B641" t="str">
        <f>"02406911202"</f>
        <v>02406911202</v>
      </c>
      <c r="C641" t="s">
        <v>13</v>
      </c>
      <c r="D641" t="s">
        <v>30</v>
      </c>
      <c r="E641" t="s">
        <v>807</v>
      </c>
      <c r="F641" t="s">
        <v>408</v>
      </c>
      <c r="G641" t="str">
        <f>"02848620163"</f>
        <v>02848620163</v>
      </c>
      <c r="I641" t="s">
        <v>811</v>
      </c>
      <c r="L641" t="s">
        <v>91</v>
      </c>
      <c r="AC641" t="s">
        <v>60</v>
      </c>
      <c r="AD641" t="s">
        <v>808</v>
      </c>
    </row>
    <row r="642" spans="1:29" ht="12.75">
      <c r="A642" t="str">
        <f>"67848023BB"</f>
        <v>67848023BB</v>
      </c>
      <c r="B642" t="str">
        <f>"02406911202"</f>
        <v>02406911202</v>
      </c>
      <c r="C642" t="s">
        <v>13</v>
      </c>
      <c r="D642" t="s">
        <v>30</v>
      </c>
      <c r="E642" t="s">
        <v>812</v>
      </c>
      <c r="F642" t="s">
        <v>32</v>
      </c>
      <c r="G642" t="str">
        <f>"09803790154"</f>
        <v>09803790154</v>
      </c>
      <c r="I642" t="s">
        <v>813</v>
      </c>
      <c r="L642" t="s">
        <v>34</v>
      </c>
      <c r="M642">
        <v>40000</v>
      </c>
      <c r="P642">
        <v>40000</v>
      </c>
      <c r="AC642" t="s">
        <v>814</v>
      </c>
    </row>
    <row r="643" spans="1:29" ht="12.75">
      <c r="A643" t="str">
        <f>"67848023BB"</f>
        <v>67848023BB</v>
      </c>
      <c r="B643" t="str">
        <f>"02406911202"</f>
        <v>02406911202</v>
      </c>
      <c r="C643" t="s">
        <v>13</v>
      </c>
      <c r="D643" t="s">
        <v>30</v>
      </c>
      <c r="E643" t="s">
        <v>812</v>
      </c>
      <c r="F643" t="s">
        <v>32</v>
      </c>
      <c r="G643" t="str">
        <f>"09238800156"</f>
        <v>09238800156</v>
      </c>
      <c r="I643" t="s">
        <v>72</v>
      </c>
      <c r="L643" t="s">
        <v>91</v>
      </c>
      <c r="AC643" t="s">
        <v>814</v>
      </c>
    </row>
    <row r="644" spans="1:29" ht="12.75">
      <c r="A644" t="str">
        <f>"67848023BB"</f>
        <v>67848023BB</v>
      </c>
      <c r="B644" t="str">
        <f>"02406911202"</f>
        <v>02406911202</v>
      </c>
      <c r="C644" t="s">
        <v>13</v>
      </c>
      <c r="D644" t="s">
        <v>30</v>
      </c>
      <c r="E644" t="s">
        <v>812</v>
      </c>
      <c r="F644" t="s">
        <v>32</v>
      </c>
      <c r="G644" t="str">
        <f>"00615700374"</f>
        <v>00615700374</v>
      </c>
      <c r="I644" t="s">
        <v>93</v>
      </c>
      <c r="L644" t="s">
        <v>91</v>
      </c>
      <c r="AC644" t="s">
        <v>814</v>
      </c>
    </row>
    <row r="645" spans="1:29" ht="12.75">
      <c r="A645" t="str">
        <f>"67848023BB"</f>
        <v>67848023BB</v>
      </c>
      <c r="B645" t="str">
        <f>"02406911202"</f>
        <v>02406911202</v>
      </c>
      <c r="C645" t="s">
        <v>13</v>
      </c>
      <c r="D645" t="s">
        <v>30</v>
      </c>
      <c r="E645" t="s">
        <v>812</v>
      </c>
      <c r="F645" t="s">
        <v>32</v>
      </c>
      <c r="G645" t="str">
        <f>"00856750153"</f>
        <v>00856750153</v>
      </c>
      <c r="I645" t="s">
        <v>451</v>
      </c>
      <c r="L645" t="s">
        <v>91</v>
      </c>
      <c r="AC645" t="s">
        <v>814</v>
      </c>
    </row>
    <row r="646" spans="1:29" ht="12.75">
      <c r="A646" t="str">
        <f>"67848023BB"</f>
        <v>67848023BB</v>
      </c>
      <c r="B646" t="str">
        <f>"02406911202"</f>
        <v>02406911202</v>
      </c>
      <c r="C646" t="s">
        <v>13</v>
      </c>
      <c r="D646" t="s">
        <v>30</v>
      </c>
      <c r="E646" t="s">
        <v>812</v>
      </c>
      <c r="F646" t="s">
        <v>32</v>
      </c>
      <c r="G646" t="str">
        <f>"05131180969"</f>
        <v>05131180969</v>
      </c>
      <c r="I646" t="s">
        <v>809</v>
      </c>
      <c r="L646" t="s">
        <v>91</v>
      </c>
      <c r="AC646" t="s">
        <v>814</v>
      </c>
    </row>
    <row r="647" spans="1:29" ht="12.75">
      <c r="A647" t="str">
        <f>"67229913AE"</f>
        <v>67229913AE</v>
      </c>
      <c r="B647" t="str">
        <f>"02406911202"</f>
        <v>02406911202</v>
      </c>
      <c r="C647" t="s">
        <v>13</v>
      </c>
      <c r="D647" t="s">
        <v>30</v>
      </c>
      <c r="E647" t="s">
        <v>815</v>
      </c>
      <c r="F647" t="s">
        <v>188</v>
      </c>
      <c r="G647" t="str">
        <f>"93027710016"</f>
        <v>93027710016</v>
      </c>
      <c r="I647" t="s">
        <v>265</v>
      </c>
      <c r="L647" t="s">
        <v>34</v>
      </c>
      <c r="M647">
        <v>62000</v>
      </c>
      <c r="O647">
        <v>62000</v>
      </c>
      <c r="AA647" t="s">
        <v>816</v>
      </c>
      <c r="AB647" t="s">
        <v>817</v>
      </c>
      <c r="AC647" t="s">
        <v>818</v>
      </c>
    </row>
    <row r="648" spans="1:29" ht="12.75">
      <c r="A648" t="str">
        <f>"67229913AE"</f>
        <v>67229913AE</v>
      </c>
      <c r="B648" t="str">
        <f>"02406911202"</f>
        <v>02406911202</v>
      </c>
      <c r="C648" t="s">
        <v>13</v>
      </c>
      <c r="D648" t="s">
        <v>30</v>
      </c>
      <c r="E648" t="s">
        <v>815</v>
      </c>
      <c r="F648" t="s">
        <v>188</v>
      </c>
      <c r="G648" t="str">
        <f>"10127601002"</f>
        <v>10127601002</v>
      </c>
      <c r="I648" t="s">
        <v>819</v>
      </c>
      <c r="L648" t="s">
        <v>91</v>
      </c>
      <c r="AC648" t="s">
        <v>818</v>
      </c>
    </row>
    <row r="649" spans="1:29" ht="12.75">
      <c r="A649" t="str">
        <f>"67229913AE"</f>
        <v>67229913AE</v>
      </c>
      <c r="B649" t="str">
        <f>"02406911202"</f>
        <v>02406911202</v>
      </c>
      <c r="C649" t="s">
        <v>13</v>
      </c>
      <c r="D649" t="s">
        <v>30</v>
      </c>
      <c r="E649" t="s">
        <v>815</v>
      </c>
      <c r="F649" t="s">
        <v>188</v>
      </c>
      <c r="G649" t="str">
        <f>"00799220157"</f>
        <v>00799220157</v>
      </c>
      <c r="I649" t="s">
        <v>820</v>
      </c>
      <c r="L649" t="s">
        <v>91</v>
      </c>
      <c r="AC649" t="s">
        <v>818</v>
      </c>
    </row>
    <row r="650" spans="1:29" ht="12.75">
      <c r="A650" t="str">
        <f>"67229913AE"</f>
        <v>67229913AE</v>
      </c>
      <c r="B650" t="str">
        <f>"02406911202"</f>
        <v>02406911202</v>
      </c>
      <c r="C650" t="s">
        <v>13</v>
      </c>
      <c r="D650" t="s">
        <v>30</v>
      </c>
      <c r="E650" t="s">
        <v>815</v>
      </c>
      <c r="F650" t="s">
        <v>188</v>
      </c>
      <c r="G650" t="str">
        <f>"06341900964"</f>
        <v>06341900964</v>
      </c>
      <c r="I650" t="s">
        <v>821</v>
      </c>
      <c r="L650" t="s">
        <v>91</v>
      </c>
      <c r="AC650" t="s">
        <v>818</v>
      </c>
    </row>
    <row r="651" spans="1:29" ht="12.75">
      <c r="A651" t="str">
        <f>"67229913AE"</f>
        <v>67229913AE</v>
      </c>
      <c r="B651" t="str">
        <f>"02406911202"</f>
        <v>02406911202</v>
      </c>
      <c r="C651" t="s">
        <v>13</v>
      </c>
      <c r="D651" t="s">
        <v>30</v>
      </c>
      <c r="E651" t="s">
        <v>815</v>
      </c>
      <c r="F651" t="s">
        <v>188</v>
      </c>
      <c r="G651" t="str">
        <f>"00856750153"</f>
        <v>00856750153</v>
      </c>
      <c r="I651" t="s">
        <v>451</v>
      </c>
      <c r="J651" t="s">
        <v>822</v>
      </c>
      <c r="K651" t="s">
        <v>62</v>
      </c>
      <c r="AC651" t="s">
        <v>818</v>
      </c>
    </row>
    <row r="652" spans="1:29" ht="12.75">
      <c r="A652" t="str">
        <f>"67229913AE"</f>
        <v>67229913AE</v>
      </c>
      <c r="B652" t="str">
        <f>"02406911202"</f>
        <v>02406911202</v>
      </c>
      <c r="C652" t="s">
        <v>13</v>
      </c>
      <c r="D652" t="s">
        <v>30</v>
      </c>
      <c r="E652" t="s">
        <v>815</v>
      </c>
      <c r="F652" t="s">
        <v>188</v>
      </c>
      <c r="G652" t="str">
        <f>"01468160393"</f>
        <v>01468160393</v>
      </c>
      <c r="I652" t="s">
        <v>823</v>
      </c>
      <c r="J652" t="s">
        <v>822</v>
      </c>
      <c r="K652" t="s">
        <v>59</v>
      </c>
      <c r="AC652" t="s">
        <v>818</v>
      </c>
    </row>
    <row r="653" spans="1:29" ht="12.75">
      <c r="A653" t="str">
        <f>"67229913AE"</f>
        <v>67229913AE</v>
      </c>
      <c r="B653" t="str">
        <f>"02406911202"</f>
        <v>02406911202</v>
      </c>
      <c r="C653" t="s">
        <v>13</v>
      </c>
      <c r="D653" t="s">
        <v>30</v>
      </c>
      <c r="E653" t="s">
        <v>815</v>
      </c>
      <c r="F653" t="s">
        <v>188</v>
      </c>
      <c r="G653" t="str">
        <f>"07246930965"</f>
        <v>07246930965</v>
      </c>
      <c r="I653" t="s">
        <v>824</v>
      </c>
      <c r="J653" t="s">
        <v>822</v>
      </c>
      <c r="K653" t="s">
        <v>62</v>
      </c>
      <c r="AC653" t="s">
        <v>818</v>
      </c>
    </row>
    <row r="654" spans="1:29" ht="12.75">
      <c r="A654" t="str">
        <f>"67229913AE"</f>
        <v>67229913AE</v>
      </c>
      <c r="B654" t="str">
        <f>"02406911202"</f>
        <v>02406911202</v>
      </c>
      <c r="C654" t="s">
        <v>13</v>
      </c>
      <c r="D654" t="s">
        <v>30</v>
      </c>
      <c r="E654" t="s">
        <v>815</v>
      </c>
      <c r="F654" t="s">
        <v>188</v>
      </c>
      <c r="I654" t="s">
        <v>822</v>
      </c>
      <c r="L654" t="s">
        <v>91</v>
      </c>
      <c r="AC654" t="s">
        <v>818</v>
      </c>
    </row>
    <row r="655" spans="1:29" ht="12.75">
      <c r="A655" t="str">
        <f>"6723003D92"</f>
        <v>6723003D92</v>
      </c>
      <c r="B655" t="str">
        <f>"02406911202"</f>
        <v>02406911202</v>
      </c>
      <c r="C655" t="s">
        <v>13</v>
      </c>
      <c r="D655" t="s">
        <v>30</v>
      </c>
      <c r="E655" t="s">
        <v>825</v>
      </c>
      <c r="F655" t="s">
        <v>188</v>
      </c>
      <c r="G655" t="str">
        <f>"93027710016"</f>
        <v>93027710016</v>
      </c>
      <c r="I655" t="s">
        <v>265</v>
      </c>
      <c r="L655" t="s">
        <v>34</v>
      </c>
      <c r="M655">
        <v>48600</v>
      </c>
      <c r="AA655" t="s">
        <v>816</v>
      </c>
      <c r="AB655" t="s">
        <v>817</v>
      </c>
      <c r="AC655" t="s">
        <v>818</v>
      </c>
    </row>
    <row r="656" spans="1:29" ht="12.75">
      <c r="A656" t="str">
        <f>"6723003D92"</f>
        <v>6723003D92</v>
      </c>
      <c r="B656" t="str">
        <f>"02406911202"</f>
        <v>02406911202</v>
      </c>
      <c r="C656" t="s">
        <v>13</v>
      </c>
      <c r="D656" t="s">
        <v>30</v>
      </c>
      <c r="E656" t="s">
        <v>825</v>
      </c>
      <c r="F656" t="s">
        <v>188</v>
      </c>
      <c r="G656" t="str">
        <f>"10127601002"</f>
        <v>10127601002</v>
      </c>
      <c r="I656" t="s">
        <v>819</v>
      </c>
      <c r="L656" t="s">
        <v>91</v>
      </c>
      <c r="AC656" t="s">
        <v>818</v>
      </c>
    </row>
    <row r="657" spans="1:29" ht="12.75">
      <c r="A657" t="str">
        <f>"6723003D92"</f>
        <v>6723003D92</v>
      </c>
      <c r="B657" t="str">
        <f>"02406911202"</f>
        <v>02406911202</v>
      </c>
      <c r="C657" t="s">
        <v>13</v>
      </c>
      <c r="D657" t="s">
        <v>30</v>
      </c>
      <c r="E657" t="s">
        <v>825</v>
      </c>
      <c r="F657" t="s">
        <v>188</v>
      </c>
      <c r="G657" t="str">
        <f>"00799220157"</f>
        <v>00799220157</v>
      </c>
      <c r="I657" t="s">
        <v>820</v>
      </c>
      <c r="L657" t="s">
        <v>91</v>
      </c>
      <c r="AC657" t="s">
        <v>818</v>
      </c>
    </row>
    <row r="658" spans="1:29" ht="12.75">
      <c r="A658" t="str">
        <f>"6723003D92"</f>
        <v>6723003D92</v>
      </c>
      <c r="B658" t="str">
        <f>"02406911202"</f>
        <v>02406911202</v>
      </c>
      <c r="C658" t="s">
        <v>13</v>
      </c>
      <c r="D658" t="s">
        <v>30</v>
      </c>
      <c r="E658" t="s">
        <v>825</v>
      </c>
      <c r="F658" t="s">
        <v>188</v>
      </c>
      <c r="G658" t="str">
        <f>"10352790157"</f>
        <v>10352790157</v>
      </c>
      <c r="I658" t="s">
        <v>826</v>
      </c>
      <c r="L658" t="s">
        <v>91</v>
      </c>
      <c r="AC658" t="s">
        <v>818</v>
      </c>
    </row>
    <row r="659" spans="1:29" ht="12.75">
      <c r="A659" t="str">
        <f>"6723003D92"</f>
        <v>6723003D92</v>
      </c>
      <c r="B659" t="str">
        <f>"02406911202"</f>
        <v>02406911202</v>
      </c>
      <c r="C659" t="s">
        <v>13</v>
      </c>
      <c r="D659" t="s">
        <v>30</v>
      </c>
      <c r="E659" t="s">
        <v>825</v>
      </c>
      <c r="F659" t="s">
        <v>188</v>
      </c>
      <c r="G659" t="str">
        <f>"00856750153"</f>
        <v>00856750153</v>
      </c>
      <c r="I659" t="s">
        <v>451</v>
      </c>
      <c r="J659" t="s">
        <v>822</v>
      </c>
      <c r="K659" t="s">
        <v>62</v>
      </c>
      <c r="AC659" t="s">
        <v>818</v>
      </c>
    </row>
    <row r="660" spans="1:29" ht="12.75">
      <c r="A660" t="str">
        <f>"6723003D92"</f>
        <v>6723003D92</v>
      </c>
      <c r="B660" t="str">
        <f>"02406911202"</f>
        <v>02406911202</v>
      </c>
      <c r="C660" t="s">
        <v>13</v>
      </c>
      <c r="D660" t="s">
        <v>30</v>
      </c>
      <c r="E660" t="s">
        <v>825</v>
      </c>
      <c r="F660" t="s">
        <v>188</v>
      </c>
      <c r="G660" t="str">
        <f>"01468160393"</f>
        <v>01468160393</v>
      </c>
      <c r="I660" t="s">
        <v>823</v>
      </c>
      <c r="J660" t="s">
        <v>822</v>
      </c>
      <c r="K660" t="s">
        <v>59</v>
      </c>
      <c r="AC660" t="s">
        <v>818</v>
      </c>
    </row>
    <row r="661" spans="1:29" ht="12.75">
      <c r="A661" t="str">
        <f>"6723003D92"</f>
        <v>6723003D92</v>
      </c>
      <c r="B661" t="str">
        <f>"02406911202"</f>
        <v>02406911202</v>
      </c>
      <c r="C661" t="s">
        <v>13</v>
      </c>
      <c r="D661" t="s">
        <v>30</v>
      </c>
      <c r="E661" t="s">
        <v>825</v>
      </c>
      <c r="F661" t="s">
        <v>188</v>
      </c>
      <c r="G661" t="str">
        <f>"07246930965"</f>
        <v>07246930965</v>
      </c>
      <c r="I661" t="s">
        <v>824</v>
      </c>
      <c r="J661" t="s">
        <v>822</v>
      </c>
      <c r="K661" t="s">
        <v>62</v>
      </c>
      <c r="AC661" t="s">
        <v>818</v>
      </c>
    </row>
    <row r="662" spans="1:29" ht="12.75">
      <c r="A662" t="str">
        <f>"6723003D92"</f>
        <v>6723003D92</v>
      </c>
      <c r="B662" t="str">
        <f>"02406911202"</f>
        <v>02406911202</v>
      </c>
      <c r="C662" t="s">
        <v>13</v>
      </c>
      <c r="D662" t="s">
        <v>30</v>
      </c>
      <c r="E662" t="s">
        <v>825</v>
      </c>
      <c r="F662" t="s">
        <v>188</v>
      </c>
      <c r="I662" t="s">
        <v>822</v>
      </c>
      <c r="L662" t="s">
        <v>91</v>
      </c>
      <c r="AC662" t="s">
        <v>818</v>
      </c>
    </row>
    <row r="663" spans="1:29" ht="12.75">
      <c r="A663" t="str">
        <f>"6723017921"</f>
        <v>6723017921</v>
      </c>
      <c r="B663" t="str">
        <f>"02406911202"</f>
        <v>02406911202</v>
      </c>
      <c r="C663" t="s">
        <v>13</v>
      </c>
      <c r="D663" t="s">
        <v>30</v>
      </c>
      <c r="E663" t="s">
        <v>827</v>
      </c>
      <c r="F663" t="s">
        <v>188</v>
      </c>
      <c r="G663" t="str">
        <f>"10127601002"</f>
        <v>10127601002</v>
      </c>
      <c r="I663" t="s">
        <v>819</v>
      </c>
      <c r="L663" t="s">
        <v>34</v>
      </c>
      <c r="M663">
        <v>30400</v>
      </c>
      <c r="O663">
        <v>30400</v>
      </c>
      <c r="AA663" t="s">
        <v>816</v>
      </c>
      <c r="AB663" t="s">
        <v>817</v>
      </c>
      <c r="AC663" t="s">
        <v>818</v>
      </c>
    </row>
    <row r="664" spans="1:29" ht="12.75">
      <c r="A664" t="str">
        <f>"6723017921"</f>
        <v>6723017921</v>
      </c>
      <c r="B664" t="str">
        <f>"02406911202"</f>
        <v>02406911202</v>
      </c>
      <c r="C664" t="s">
        <v>13</v>
      </c>
      <c r="D664" t="s">
        <v>30</v>
      </c>
      <c r="E664" t="s">
        <v>827</v>
      </c>
      <c r="F664" t="s">
        <v>188</v>
      </c>
      <c r="G664" t="str">
        <f>"93027710016"</f>
        <v>93027710016</v>
      </c>
      <c r="I664" t="s">
        <v>265</v>
      </c>
      <c r="L664" t="s">
        <v>91</v>
      </c>
      <c r="AC664" t="s">
        <v>818</v>
      </c>
    </row>
    <row r="665" spans="1:29" ht="12.75">
      <c r="A665" t="str">
        <f>"6723017921"</f>
        <v>6723017921</v>
      </c>
      <c r="B665" t="str">
        <f>"02406911202"</f>
        <v>02406911202</v>
      </c>
      <c r="C665" t="s">
        <v>13</v>
      </c>
      <c r="D665" t="s">
        <v>30</v>
      </c>
      <c r="E665" t="s">
        <v>827</v>
      </c>
      <c r="F665" t="s">
        <v>188</v>
      </c>
      <c r="G665" t="str">
        <f>"00799220157"</f>
        <v>00799220157</v>
      </c>
      <c r="I665" t="s">
        <v>820</v>
      </c>
      <c r="L665" t="s">
        <v>91</v>
      </c>
      <c r="AC665" t="s">
        <v>818</v>
      </c>
    </row>
    <row r="666" spans="1:29" ht="12.75">
      <c r="A666" t="str">
        <f>"6723017921"</f>
        <v>6723017921</v>
      </c>
      <c r="B666" t="str">
        <f>"02406911202"</f>
        <v>02406911202</v>
      </c>
      <c r="C666" t="s">
        <v>13</v>
      </c>
      <c r="D666" t="s">
        <v>30</v>
      </c>
      <c r="E666" t="s">
        <v>827</v>
      </c>
      <c r="F666" t="s">
        <v>188</v>
      </c>
      <c r="G666" t="str">
        <f>"10352790157"</f>
        <v>10352790157</v>
      </c>
      <c r="I666" t="s">
        <v>826</v>
      </c>
      <c r="L666" t="s">
        <v>91</v>
      </c>
      <c r="AC666" t="s">
        <v>818</v>
      </c>
    </row>
    <row r="667" spans="1:29" ht="12.75">
      <c r="A667" t="str">
        <f>"6723017921"</f>
        <v>6723017921</v>
      </c>
      <c r="B667" t="str">
        <f>"02406911202"</f>
        <v>02406911202</v>
      </c>
      <c r="C667" t="s">
        <v>13</v>
      </c>
      <c r="D667" t="s">
        <v>30</v>
      </c>
      <c r="E667" t="s">
        <v>827</v>
      </c>
      <c r="F667" t="s">
        <v>188</v>
      </c>
      <c r="G667" t="str">
        <f>"00856750153"</f>
        <v>00856750153</v>
      </c>
      <c r="I667" t="s">
        <v>451</v>
      </c>
      <c r="J667" t="s">
        <v>822</v>
      </c>
      <c r="K667" t="s">
        <v>62</v>
      </c>
      <c r="AC667" t="s">
        <v>818</v>
      </c>
    </row>
    <row r="668" spans="1:29" ht="12.75">
      <c r="A668" t="str">
        <f>"6723017921"</f>
        <v>6723017921</v>
      </c>
      <c r="B668" t="str">
        <f>"02406911202"</f>
        <v>02406911202</v>
      </c>
      <c r="C668" t="s">
        <v>13</v>
      </c>
      <c r="D668" t="s">
        <v>30</v>
      </c>
      <c r="E668" t="s">
        <v>827</v>
      </c>
      <c r="F668" t="s">
        <v>188</v>
      </c>
      <c r="G668" t="str">
        <f>"01468160393"</f>
        <v>01468160393</v>
      </c>
      <c r="I668" t="s">
        <v>823</v>
      </c>
      <c r="J668" t="s">
        <v>822</v>
      </c>
      <c r="K668" t="s">
        <v>59</v>
      </c>
      <c r="AC668" t="s">
        <v>818</v>
      </c>
    </row>
    <row r="669" spans="1:29" ht="12.75">
      <c r="A669" t="str">
        <f>"6723017921"</f>
        <v>6723017921</v>
      </c>
      <c r="B669" t="str">
        <f>"02406911202"</f>
        <v>02406911202</v>
      </c>
      <c r="C669" t="s">
        <v>13</v>
      </c>
      <c r="D669" t="s">
        <v>30</v>
      </c>
      <c r="E669" t="s">
        <v>827</v>
      </c>
      <c r="F669" t="s">
        <v>188</v>
      </c>
      <c r="G669" t="str">
        <f>"07246930965"</f>
        <v>07246930965</v>
      </c>
      <c r="I669" t="s">
        <v>824</v>
      </c>
      <c r="J669" t="s">
        <v>822</v>
      </c>
      <c r="K669" t="s">
        <v>62</v>
      </c>
      <c r="AC669" t="s">
        <v>818</v>
      </c>
    </row>
    <row r="670" spans="1:29" ht="12.75">
      <c r="A670" t="str">
        <f>"6723017921"</f>
        <v>6723017921</v>
      </c>
      <c r="B670" t="str">
        <f>"02406911202"</f>
        <v>02406911202</v>
      </c>
      <c r="C670" t="s">
        <v>13</v>
      </c>
      <c r="D670" t="s">
        <v>30</v>
      </c>
      <c r="E670" t="s">
        <v>827</v>
      </c>
      <c r="F670" t="s">
        <v>188</v>
      </c>
      <c r="I670" t="s">
        <v>822</v>
      </c>
      <c r="L670" t="s">
        <v>91</v>
      </c>
      <c r="AC670" t="s">
        <v>818</v>
      </c>
    </row>
    <row r="671" spans="1:29" ht="12.75">
      <c r="A671" t="str">
        <f>"672302930A"</f>
        <v>672302930A</v>
      </c>
      <c r="B671" t="str">
        <f>"02406911202"</f>
        <v>02406911202</v>
      </c>
      <c r="C671" t="s">
        <v>13</v>
      </c>
      <c r="D671" t="s">
        <v>30</v>
      </c>
      <c r="E671" t="s">
        <v>828</v>
      </c>
      <c r="F671" t="s">
        <v>188</v>
      </c>
      <c r="G671" t="str">
        <f>"00799220157"</f>
        <v>00799220157</v>
      </c>
      <c r="I671" t="s">
        <v>820</v>
      </c>
      <c r="L671" t="s">
        <v>34</v>
      </c>
      <c r="M671">
        <v>64976.8</v>
      </c>
      <c r="O671">
        <v>64976.8</v>
      </c>
      <c r="AA671" t="s">
        <v>816</v>
      </c>
      <c r="AB671" t="s">
        <v>817</v>
      </c>
      <c r="AC671" t="s">
        <v>818</v>
      </c>
    </row>
    <row r="672" spans="1:29" ht="12.75">
      <c r="A672" t="str">
        <f>"672302930A"</f>
        <v>672302930A</v>
      </c>
      <c r="B672" t="str">
        <f>"02406911202"</f>
        <v>02406911202</v>
      </c>
      <c r="C672" t="s">
        <v>13</v>
      </c>
      <c r="D672" t="s">
        <v>30</v>
      </c>
      <c r="E672" t="s">
        <v>828</v>
      </c>
      <c r="F672" t="s">
        <v>188</v>
      </c>
      <c r="G672" t="str">
        <f>"93027710016"</f>
        <v>93027710016</v>
      </c>
      <c r="I672" t="s">
        <v>265</v>
      </c>
      <c r="L672" t="s">
        <v>91</v>
      </c>
      <c r="AC672" t="s">
        <v>818</v>
      </c>
    </row>
    <row r="673" spans="1:29" ht="12.75">
      <c r="A673" t="str">
        <f>"672302930A"</f>
        <v>672302930A</v>
      </c>
      <c r="B673" t="str">
        <f>"02406911202"</f>
        <v>02406911202</v>
      </c>
      <c r="C673" t="s">
        <v>13</v>
      </c>
      <c r="D673" t="s">
        <v>30</v>
      </c>
      <c r="E673" t="s">
        <v>828</v>
      </c>
      <c r="F673" t="s">
        <v>188</v>
      </c>
      <c r="G673" t="str">
        <f>"10127601002"</f>
        <v>10127601002</v>
      </c>
      <c r="I673" t="s">
        <v>819</v>
      </c>
      <c r="L673" t="s">
        <v>91</v>
      </c>
      <c r="AC673" t="s">
        <v>818</v>
      </c>
    </row>
    <row r="674" spans="1:29" ht="12.75">
      <c r="A674" t="str">
        <f>"672302930A"</f>
        <v>672302930A</v>
      </c>
      <c r="B674" t="str">
        <f>"02406911202"</f>
        <v>02406911202</v>
      </c>
      <c r="C674" t="s">
        <v>13</v>
      </c>
      <c r="D674" t="s">
        <v>30</v>
      </c>
      <c r="E674" t="s">
        <v>828</v>
      </c>
      <c r="F674" t="s">
        <v>188</v>
      </c>
      <c r="G674" t="str">
        <f>"10352790157"</f>
        <v>10352790157</v>
      </c>
      <c r="I674" t="s">
        <v>826</v>
      </c>
      <c r="L674" t="s">
        <v>91</v>
      </c>
      <c r="AC674" t="s">
        <v>818</v>
      </c>
    </row>
    <row r="675" spans="1:29" ht="12.75">
      <c r="A675" t="str">
        <f>"672302930A"</f>
        <v>672302930A</v>
      </c>
      <c r="B675" t="str">
        <f>"02406911202"</f>
        <v>02406911202</v>
      </c>
      <c r="C675" t="s">
        <v>13</v>
      </c>
      <c r="D675" t="s">
        <v>30</v>
      </c>
      <c r="E675" t="s">
        <v>828</v>
      </c>
      <c r="F675" t="s">
        <v>188</v>
      </c>
      <c r="G675" t="str">
        <f>"00856750153"</f>
        <v>00856750153</v>
      </c>
      <c r="I675" t="s">
        <v>451</v>
      </c>
      <c r="J675" t="s">
        <v>822</v>
      </c>
      <c r="K675" t="s">
        <v>62</v>
      </c>
      <c r="AC675" t="s">
        <v>818</v>
      </c>
    </row>
    <row r="676" spans="1:29" ht="12.75">
      <c r="A676" t="str">
        <f>"672302930A"</f>
        <v>672302930A</v>
      </c>
      <c r="B676" t="str">
        <f>"02406911202"</f>
        <v>02406911202</v>
      </c>
      <c r="C676" t="s">
        <v>13</v>
      </c>
      <c r="D676" t="s">
        <v>30</v>
      </c>
      <c r="E676" t="s">
        <v>828</v>
      </c>
      <c r="F676" t="s">
        <v>188</v>
      </c>
      <c r="G676" t="str">
        <f>"01468160393"</f>
        <v>01468160393</v>
      </c>
      <c r="I676" t="s">
        <v>823</v>
      </c>
      <c r="J676" t="s">
        <v>822</v>
      </c>
      <c r="K676" t="s">
        <v>59</v>
      </c>
      <c r="AC676" t="s">
        <v>818</v>
      </c>
    </row>
    <row r="677" spans="1:29" ht="12.75">
      <c r="A677" t="str">
        <f>"672302930A"</f>
        <v>672302930A</v>
      </c>
      <c r="B677" t="str">
        <f>"02406911202"</f>
        <v>02406911202</v>
      </c>
      <c r="C677" t="s">
        <v>13</v>
      </c>
      <c r="D677" t="s">
        <v>30</v>
      </c>
      <c r="E677" t="s">
        <v>828</v>
      </c>
      <c r="F677" t="s">
        <v>188</v>
      </c>
      <c r="G677" t="str">
        <f>"07246930965"</f>
        <v>07246930965</v>
      </c>
      <c r="I677" t="s">
        <v>824</v>
      </c>
      <c r="J677" t="s">
        <v>822</v>
      </c>
      <c r="K677" t="s">
        <v>62</v>
      </c>
      <c r="AC677" t="s">
        <v>818</v>
      </c>
    </row>
    <row r="678" spans="1:29" ht="12.75">
      <c r="A678" t="str">
        <f>"672302930A"</f>
        <v>672302930A</v>
      </c>
      <c r="B678" t="str">
        <f>"02406911202"</f>
        <v>02406911202</v>
      </c>
      <c r="C678" t="s">
        <v>13</v>
      </c>
      <c r="D678" t="s">
        <v>30</v>
      </c>
      <c r="E678" t="s">
        <v>828</v>
      </c>
      <c r="F678" t="s">
        <v>188</v>
      </c>
      <c r="I678" t="s">
        <v>822</v>
      </c>
      <c r="L678" t="s">
        <v>91</v>
      </c>
      <c r="AC678" t="s">
        <v>818</v>
      </c>
    </row>
    <row r="679" spans="1:29" ht="12.75">
      <c r="A679" t="str">
        <f>"6723038A75"</f>
        <v>6723038A75</v>
      </c>
      <c r="B679" t="str">
        <f>"02406911202"</f>
        <v>02406911202</v>
      </c>
      <c r="C679" t="s">
        <v>13</v>
      </c>
      <c r="D679" t="s">
        <v>30</v>
      </c>
      <c r="E679" t="s">
        <v>829</v>
      </c>
      <c r="F679" t="s">
        <v>188</v>
      </c>
      <c r="G679" t="str">
        <f>"93027710016"</f>
        <v>93027710016</v>
      </c>
      <c r="I679" t="s">
        <v>265</v>
      </c>
      <c r="L679" t="s">
        <v>34</v>
      </c>
      <c r="M679">
        <v>70800.8</v>
      </c>
      <c r="O679">
        <v>70800.8</v>
      </c>
      <c r="AA679" t="s">
        <v>816</v>
      </c>
      <c r="AB679" t="s">
        <v>817</v>
      </c>
      <c r="AC679" t="s">
        <v>818</v>
      </c>
    </row>
    <row r="680" spans="1:29" ht="12.75">
      <c r="A680" t="str">
        <f>"6723038A75"</f>
        <v>6723038A75</v>
      </c>
      <c r="B680" t="str">
        <f>"02406911202"</f>
        <v>02406911202</v>
      </c>
      <c r="C680" t="s">
        <v>13</v>
      </c>
      <c r="D680" t="s">
        <v>30</v>
      </c>
      <c r="E680" t="s">
        <v>829</v>
      </c>
      <c r="F680" t="s">
        <v>188</v>
      </c>
      <c r="G680" t="str">
        <f>"10127601002"</f>
        <v>10127601002</v>
      </c>
      <c r="I680" t="s">
        <v>819</v>
      </c>
      <c r="L680" t="s">
        <v>91</v>
      </c>
      <c r="AC680" t="s">
        <v>818</v>
      </c>
    </row>
    <row r="681" spans="1:29" ht="12.75">
      <c r="A681" t="str">
        <f>"6723038A75"</f>
        <v>6723038A75</v>
      </c>
      <c r="B681" t="str">
        <f>"02406911202"</f>
        <v>02406911202</v>
      </c>
      <c r="C681" t="s">
        <v>13</v>
      </c>
      <c r="D681" t="s">
        <v>30</v>
      </c>
      <c r="E681" t="s">
        <v>829</v>
      </c>
      <c r="F681" t="s">
        <v>188</v>
      </c>
      <c r="G681" t="str">
        <f>"00799220157"</f>
        <v>00799220157</v>
      </c>
      <c r="I681" t="s">
        <v>820</v>
      </c>
      <c r="L681" t="s">
        <v>91</v>
      </c>
      <c r="AC681" t="s">
        <v>818</v>
      </c>
    </row>
    <row r="682" spans="1:29" ht="12.75">
      <c r="A682" t="str">
        <f>"6723038A75"</f>
        <v>6723038A75</v>
      </c>
      <c r="B682" t="str">
        <f>"02406911202"</f>
        <v>02406911202</v>
      </c>
      <c r="C682" t="s">
        <v>13</v>
      </c>
      <c r="D682" t="s">
        <v>30</v>
      </c>
      <c r="E682" t="s">
        <v>829</v>
      </c>
      <c r="F682" t="s">
        <v>188</v>
      </c>
      <c r="G682" t="str">
        <f>"10352790157"</f>
        <v>10352790157</v>
      </c>
      <c r="I682" t="s">
        <v>826</v>
      </c>
      <c r="L682" t="s">
        <v>91</v>
      </c>
      <c r="AC682" t="s">
        <v>818</v>
      </c>
    </row>
    <row r="683" spans="1:29" ht="12.75">
      <c r="A683" t="str">
        <f>"6723038A75"</f>
        <v>6723038A75</v>
      </c>
      <c r="B683" t="str">
        <f>"02406911202"</f>
        <v>02406911202</v>
      </c>
      <c r="C683" t="s">
        <v>13</v>
      </c>
      <c r="D683" t="s">
        <v>30</v>
      </c>
      <c r="E683" t="s">
        <v>829</v>
      </c>
      <c r="F683" t="s">
        <v>188</v>
      </c>
      <c r="G683" t="str">
        <f>"00856750153"</f>
        <v>00856750153</v>
      </c>
      <c r="I683" t="s">
        <v>451</v>
      </c>
      <c r="J683" t="s">
        <v>822</v>
      </c>
      <c r="K683" t="s">
        <v>62</v>
      </c>
      <c r="AC683" t="s">
        <v>818</v>
      </c>
    </row>
    <row r="684" spans="1:29" ht="12.75">
      <c r="A684" t="str">
        <f>"6723038A75"</f>
        <v>6723038A75</v>
      </c>
      <c r="B684" t="str">
        <f>"02406911202"</f>
        <v>02406911202</v>
      </c>
      <c r="C684" t="s">
        <v>13</v>
      </c>
      <c r="D684" t="s">
        <v>30</v>
      </c>
      <c r="E684" t="s">
        <v>829</v>
      </c>
      <c r="F684" t="s">
        <v>188</v>
      </c>
      <c r="G684" t="str">
        <f>"01468160393"</f>
        <v>01468160393</v>
      </c>
      <c r="I684" t="s">
        <v>823</v>
      </c>
      <c r="J684" t="s">
        <v>822</v>
      </c>
      <c r="K684" t="s">
        <v>59</v>
      </c>
      <c r="AC684" t="s">
        <v>818</v>
      </c>
    </row>
    <row r="685" spans="1:29" ht="12.75">
      <c r="A685" t="str">
        <f>"6723038A75"</f>
        <v>6723038A75</v>
      </c>
      <c r="B685" t="str">
        <f>"02406911202"</f>
        <v>02406911202</v>
      </c>
      <c r="C685" t="s">
        <v>13</v>
      </c>
      <c r="D685" t="s">
        <v>30</v>
      </c>
      <c r="E685" t="s">
        <v>829</v>
      </c>
      <c r="F685" t="s">
        <v>188</v>
      </c>
      <c r="G685" t="str">
        <f>"07246930965"</f>
        <v>07246930965</v>
      </c>
      <c r="I685" t="s">
        <v>824</v>
      </c>
      <c r="J685" t="s">
        <v>822</v>
      </c>
      <c r="K685" t="s">
        <v>62</v>
      </c>
      <c r="AC685" t="s">
        <v>818</v>
      </c>
    </row>
    <row r="686" spans="1:29" ht="12.75">
      <c r="A686" t="str">
        <f>"6723038A75"</f>
        <v>6723038A75</v>
      </c>
      <c r="B686" t="str">
        <f>"02406911202"</f>
        <v>02406911202</v>
      </c>
      <c r="C686" t="s">
        <v>13</v>
      </c>
      <c r="D686" t="s">
        <v>30</v>
      </c>
      <c r="E686" t="s">
        <v>829</v>
      </c>
      <c r="F686" t="s">
        <v>188</v>
      </c>
      <c r="I686" t="s">
        <v>822</v>
      </c>
      <c r="L686" t="s">
        <v>91</v>
      </c>
      <c r="AC686" t="s">
        <v>818</v>
      </c>
    </row>
    <row r="687" spans="1:29" ht="12.75">
      <c r="A687" t="str">
        <f>"6809653F69"</f>
        <v>6809653F69</v>
      </c>
      <c r="B687" t="str">
        <f>"02406911202"</f>
        <v>02406911202</v>
      </c>
      <c r="C687" t="s">
        <v>13</v>
      </c>
      <c r="D687" t="s">
        <v>30</v>
      </c>
      <c r="E687" t="s">
        <v>830</v>
      </c>
      <c r="F687" t="s">
        <v>78</v>
      </c>
      <c r="G687" t="str">
        <f>"93027710016"</f>
        <v>93027710016</v>
      </c>
      <c r="I687" t="s">
        <v>265</v>
      </c>
      <c r="L687" t="s">
        <v>34</v>
      </c>
      <c r="M687">
        <v>187500</v>
      </c>
      <c r="O687">
        <v>187500</v>
      </c>
      <c r="AA687" t="s">
        <v>831</v>
      </c>
      <c r="AB687" t="s">
        <v>180</v>
      </c>
      <c r="AC687" t="s">
        <v>831</v>
      </c>
    </row>
    <row r="688" spans="1:29" ht="12.75">
      <c r="A688" t="str">
        <f>"68186732F7"</f>
        <v>68186732F7</v>
      </c>
      <c r="B688" t="str">
        <f>"02406911202"</f>
        <v>02406911202</v>
      </c>
      <c r="C688" t="s">
        <v>13</v>
      </c>
      <c r="D688" t="s">
        <v>30</v>
      </c>
      <c r="E688" t="s">
        <v>832</v>
      </c>
      <c r="F688" t="s">
        <v>32</v>
      </c>
      <c r="G688" t="str">
        <f>"00803890151"</f>
        <v>00803890151</v>
      </c>
      <c r="I688" t="s">
        <v>273</v>
      </c>
      <c r="L688" t="s">
        <v>34</v>
      </c>
      <c r="M688">
        <v>287704.17</v>
      </c>
      <c r="N688">
        <v>207950.08</v>
      </c>
      <c r="O688">
        <v>79754.09</v>
      </c>
      <c r="AC688" t="s">
        <v>279</v>
      </c>
    </row>
    <row r="689" spans="1:29" ht="12.75">
      <c r="A689" t="str">
        <f>"6782830861"</f>
        <v>6782830861</v>
      </c>
      <c r="B689" t="str">
        <f>"02406911202"</f>
        <v>02406911202</v>
      </c>
      <c r="C689" t="s">
        <v>13</v>
      </c>
      <c r="D689" t="s">
        <v>30</v>
      </c>
      <c r="E689" t="s">
        <v>833</v>
      </c>
      <c r="F689" t="s">
        <v>32</v>
      </c>
      <c r="G689" t="str">
        <f>"05131180969"</f>
        <v>05131180969</v>
      </c>
      <c r="I689" t="s">
        <v>809</v>
      </c>
      <c r="L689" t="s">
        <v>34</v>
      </c>
      <c r="M689">
        <v>65575</v>
      </c>
      <c r="N689">
        <v>49181</v>
      </c>
      <c r="P689">
        <v>8197</v>
      </c>
      <c r="Q689">
        <v>8197</v>
      </c>
      <c r="AC689" t="s">
        <v>756</v>
      </c>
    </row>
    <row r="690" spans="1:29" ht="12.75">
      <c r="A690" t="str">
        <f>"674082833D"</f>
        <v>674082833D</v>
      </c>
      <c r="B690" t="str">
        <f>"02406911202"</f>
        <v>02406911202</v>
      </c>
      <c r="C690" t="s">
        <v>13</v>
      </c>
      <c r="D690" t="s">
        <v>30</v>
      </c>
      <c r="E690" t="s">
        <v>834</v>
      </c>
      <c r="F690" t="s">
        <v>78</v>
      </c>
      <c r="G690" t="str">
        <f>"09238800156"</f>
        <v>09238800156</v>
      </c>
      <c r="I690" t="s">
        <v>72</v>
      </c>
      <c r="L690" t="s">
        <v>34</v>
      </c>
      <c r="M690">
        <v>481309.07</v>
      </c>
      <c r="N690">
        <v>83171.91</v>
      </c>
      <c r="O690">
        <v>60972.09</v>
      </c>
      <c r="Q690">
        <v>17144.91</v>
      </c>
      <c r="R690">
        <v>240922.37</v>
      </c>
      <c r="S690">
        <v>79097.79</v>
      </c>
      <c r="AA690" t="s">
        <v>290</v>
      </c>
      <c r="AB690" t="s">
        <v>180</v>
      </c>
      <c r="AC690" t="s">
        <v>287</v>
      </c>
    </row>
    <row r="691" spans="1:29" ht="12.75">
      <c r="A691" t="str">
        <f>"673296065B"</f>
        <v>673296065B</v>
      </c>
      <c r="B691" t="str">
        <f>"02406911202"</f>
        <v>02406911202</v>
      </c>
      <c r="C691" t="s">
        <v>13</v>
      </c>
      <c r="D691" t="s">
        <v>30</v>
      </c>
      <c r="E691" t="s">
        <v>835</v>
      </c>
      <c r="F691" t="s">
        <v>32</v>
      </c>
      <c r="G691" t="str">
        <f>"09238800156"</f>
        <v>09238800156</v>
      </c>
      <c r="I691" t="s">
        <v>72</v>
      </c>
      <c r="L691" t="s">
        <v>34</v>
      </c>
      <c r="M691">
        <v>3920</v>
      </c>
      <c r="P691">
        <v>3920</v>
      </c>
      <c r="AA691" t="s">
        <v>836</v>
      </c>
      <c r="AB691" t="s">
        <v>837</v>
      </c>
      <c r="AC691" t="s">
        <v>838</v>
      </c>
    </row>
    <row r="692" spans="1:29" ht="12.75">
      <c r="A692" t="str">
        <f>"68269018EB"</f>
        <v>68269018EB</v>
      </c>
      <c r="B692" t="str">
        <f>"02406911202"</f>
        <v>02406911202</v>
      </c>
      <c r="C692" t="s">
        <v>13</v>
      </c>
      <c r="D692" t="s">
        <v>30</v>
      </c>
      <c r="E692" t="s">
        <v>839</v>
      </c>
      <c r="F692" t="s">
        <v>32</v>
      </c>
      <c r="G692" t="str">
        <f>"04839740489"</f>
        <v>04839740489</v>
      </c>
      <c r="I692" t="s">
        <v>840</v>
      </c>
      <c r="J692" t="s">
        <v>841</v>
      </c>
      <c r="K692" t="s">
        <v>59</v>
      </c>
      <c r="AC692" t="s">
        <v>842</v>
      </c>
    </row>
    <row r="693" spans="1:29" ht="12.75">
      <c r="A693" t="str">
        <f>"68269018EB"</f>
        <v>68269018EB</v>
      </c>
      <c r="B693" t="str">
        <f>"02406911202"</f>
        <v>02406911202</v>
      </c>
      <c r="C693" t="s">
        <v>13</v>
      </c>
      <c r="D693" t="s">
        <v>30</v>
      </c>
      <c r="E693" t="s">
        <v>839</v>
      </c>
      <c r="F693" t="s">
        <v>32</v>
      </c>
      <c r="G693" t="str">
        <f>"97103880585"</f>
        <v>97103880585</v>
      </c>
      <c r="I693" t="s">
        <v>843</v>
      </c>
      <c r="J693" t="s">
        <v>841</v>
      </c>
      <c r="K693" t="s">
        <v>62</v>
      </c>
      <c r="AC693" t="s">
        <v>842</v>
      </c>
    </row>
    <row r="694" spans="1:29" ht="12.75">
      <c r="A694" t="str">
        <f>"68269018EB"</f>
        <v>68269018EB</v>
      </c>
      <c r="B694" t="str">
        <f>"02406911202"</f>
        <v>02406911202</v>
      </c>
      <c r="C694" t="s">
        <v>13</v>
      </c>
      <c r="D694" t="s">
        <v>30</v>
      </c>
      <c r="E694" t="s">
        <v>839</v>
      </c>
      <c r="F694" t="s">
        <v>32</v>
      </c>
      <c r="I694" t="s">
        <v>841</v>
      </c>
      <c r="L694" t="s">
        <v>91</v>
      </c>
      <c r="AC694" t="s">
        <v>842</v>
      </c>
    </row>
    <row r="695" spans="1:29" ht="12.75">
      <c r="A695" t="str">
        <f>"68269018EB"</f>
        <v>68269018EB</v>
      </c>
      <c r="B695" t="str">
        <f>"02406911202"</f>
        <v>02406911202</v>
      </c>
      <c r="C695" t="s">
        <v>13</v>
      </c>
      <c r="D695" t="s">
        <v>30</v>
      </c>
      <c r="E695" t="s">
        <v>839</v>
      </c>
      <c r="F695" t="s">
        <v>32</v>
      </c>
      <c r="G695" t="str">
        <f>"97103880585"</f>
        <v>97103880585</v>
      </c>
      <c r="I695" t="s">
        <v>843</v>
      </c>
      <c r="L695" t="s">
        <v>34</v>
      </c>
      <c r="M695">
        <v>854000</v>
      </c>
      <c r="N695">
        <v>728000</v>
      </c>
      <c r="Q695">
        <v>126000</v>
      </c>
      <c r="AC695" t="s">
        <v>842</v>
      </c>
    </row>
    <row r="696" spans="1:29" ht="12.75">
      <c r="A696" t="str">
        <f>"67812321AD"</f>
        <v>67812321AD</v>
      </c>
      <c r="B696" t="str">
        <f>"02406911202"</f>
        <v>02406911202</v>
      </c>
      <c r="C696" t="s">
        <v>13</v>
      </c>
      <c r="D696" t="s">
        <v>30</v>
      </c>
      <c r="E696" t="s">
        <v>844</v>
      </c>
      <c r="F696" t="s">
        <v>32</v>
      </c>
      <c r="G696" t="str">
        <f>"91155450371"</f>
        <v>91155450371</v>
      </c>
      <c r="I696" t="s">
        <v>106</v>
      </c>
      <c r="L696" t="s">
        <v>34</v>
      </c>
      <c r="M696">
        <v>125391</v>
      </c>
      <c r="Q696">
        <v>125391</v>
      </c>
      <c r="AC696" t="s">
        <v>731</v>
      </c>
    </row>
    <row r="697" spans="1:29" ht="12.75">
      <c r="A697" t="str">
        <f>"67812321AD"</f>
        <v>67812321AD</v>
      </c>
      <c r="B697" t="str">
        <f>"02406911202"</f>
        <v>02406911202</v>
      </c>
      <c r="C697" t="s">
        <v>13</v>
      </c>
      <c r="D697" t="s">
        <v>30</v>
      </c>
      <c r="E697" t="s">
        <v>844</v>
      </c>
      <c r="F697" t="s">
        <v>32</v>
      </c>
      <c r="G697" t="str">
        <f>"10127601002"</f>
        <v>10127601002</v>
      </c>
      <c r="I697" t="s">
        <v>819</v>
      </c>
      <c r="L697" t="s">
        <v>91</v>
      </c>
      <c r="AC697" t="s">
        <v>731</v>
      </c>
    </row>
    <row r="698" spans="1:29" ht="12.75">
      <c r="A698" t="str">
        <f>"67812321AD"</f>
        <v>67812321AD</v>
      </c>
      <c r="B698" t="str">
        <f>"02406911202"</f>
        <v>02406911202</v>
      </c>
      <c r="C698" t="s">
        <v>13</v>
      </c>
      <c r="D698" t="s">
        <v>30</v>
      </c>
      <c r="E698" t="s">
        <v>844</v>
      </c>
      <c r="F698" t="s">
        <v>32</v>
      </c>
      <c r="G698" t="str">
        <f>"03301251207"</f>
        <v>03301251207</v>
      </c>
      <c r="I698" t="s">
        <v>845</v>
      </c>
      <c r="L698" t="s">
        <v>91</v>
      </c>
      <c r="AC698" t="s">
        <v>731</v>
      </c>
    </row>
    <row r="699" spans="1:29" ht="12.75">
      <c r="A699" t="str">
        <f>"67812321AD"</f>
        <v>67812321AD</v>
      </c>
      <c r="B699" t="str">
        <f>"02406911202"</f>
        <v>02406911202</v>
      </c>
      <c r="C699" t="s">
        <v>13</v>
      </c>
      <c r="D699" t="s">
        <v>30</v>
      </c>
      <c r="E699" t="s">
        <v>844</v>
      </c>
      <c r="F699" t="s">
        <v>32</v>
      </c>
      <c r="G699" t="str">
        <f>"02705540165"</f>
        <v>02705540165</v>
      </c>
      <c r="I699" t="s">
        <v>268</v>
      </c>
      <c r="L699" t="s">
        <v>91</v>
      </c>
      <c r="AC699" t="s">
        <v>731</v>
      </c>
    </row>
    <row r="700" spans="1:29" ht="12.75">
      <c r="A700" t="str">
        <f>"67812321AD"</f>
        <v>67812321AD</v>
      </c>
      <c r="B700" t="str">
        <f>"02406911202"</f>
        <v>02406911202</v>
      </c>
      <c r="C700" t="s">
        <v>13</v>
      </c>
      <c r="D700" t="s">
        <v>30</v>
      </c>
      <c r="E700" t="s">
        <v>844</v>
      </c>
      <c r="F700" t="s">
        <v>32</v>
      </c>
      <c r="G700" t="str">
        <f>"07121831007"</f>
        <v>07121831007</v>
      </c>
      <c r="I700" t="s">
        <v>171</v>
      </c>
      <c r="L700" t="s">
        <v>91</v>
      </c>
      <c r="AC700" t="s">
        <v>731</v>
      </c>
    </row>
    <row r="701" spans="1:29" ht="12.75">
      <c r="A701" t="str">
        <f>"67812321AD"</f>
        <v>67812321AD</v>
      </c>
      <c r="B701" t="str">
        <f>"02406911202"</f>
        <v>02406911202</v>
      </c>
      <c r="C701" t="s">
        <v>13</v>
      </c>
      <c r="D701" t="s">
        <v>30</v>
      </c>
      <c r="E701" t="s">
        <v>844</v>
      </c>
      <c r="F701" t="s">
        <v>32</v>
      </c>
      <c r="G701" t="str">
        <f>"08640300961"</f>
        <v>08640300961</v>
      </c>
      <c r="I701" t="s">
        <v>846</v>
      </c>
      <c r="L701" t="s">
        <v>91</v>
      </c>
      <c r="AC701" t="s">
        <v>731</v>
      </c>
    </row>
    <row r="702" spans="1:29" ht="12.75">
      <c r="A702" t="str">
        <f>"68333556EE"</f>
        <v>68333556EE</v>
      </c>
      <c r="B702" t="str">
        <f>"02406911202"</f>
        <v>02406911202</v>
      </c>
      <c r="C702" t="s">
        <v>13</v>
      </c>
      <c r="D702" t="s">
        <v>30</v>
      </c>
      <c r="E702" t="s">
        <v>847</v>
      </c>
      <c r="F702" t="s">
        <v>46</v>
      </c>
      <c r="G702" t="str">
        <f>"01347430397"</f>
        <v>01347430397</v>
      </c>
      <c r="I702" t="s">
        <v>660</v>
      </c>
      <c r="L702" t="s">
        <v>34</v>
      </c>
      <c r="M702">
        <v>24930</v>
      </c>
      <c r="P702">
        <v>24930</v>
      </c>
      <c r="AC702" t="s">
        <v>848</v>
      </c>
    </row>
    <row r="703" spans="1:29" ht="12.75">
      <c r="A703" t="str">
        <f>"6627341ECA"</f>
        <v>6627341ECA</v>
      </c>
      <c r="B703" t="str">
        <f>"02406911202"</f>
        <v>02406911202</v>
      </c>
      <c r="C703" t="s">
        <v>13</v>
      </c>
      <c r="D703" t="s">
        <v>30</v>
      </c>
      <c r="E703" t="s">
        <v>849</v>
      </c>
      <c r="F703" t="s">
        <v>32</v>
      </c>
      <c r="G703" t="str">
        <f>"02893271201"</f>
        <v>02893271201</v>
      </c>
      <c r="I703" t="s">
        <v>850</v>
      </c>
      <c r="L703" t="s">
        <v>34</v>
      </c>
      <c r="M703">
        <v>152720</v>
      </c>
      <c r="N703">
        <v>11620</v>
      </c>
      <c r="P703">
        <v>116200</v>
      </c>
      <c r="Q703">
        <v>24900</v>
      </c>
      <c r="AC703" t="s">
        <v>851</v>
      </c>
    </row>
    <row r="704" spans="1:29" ht="12.75">
      <c r="A704" t="str">
        <f>"6627341ECA"</f>
        <v>6627341ECA</v>
      </c>
      <c r="B704" t="str">
        <f>"02406911202"</f>
        <v>02406911202</v>
      </c>
      <c r="C704" t="s">
        <v>13</v>
      </c>
      <c r="D704" t="s">
        <v>30</v>
      </c>
      <c r="E704" t="s">
        <v>849</v>
      </c>
      <c r="F704" t="s">
        <v>32</v>
      </c>
      <c r="G704" t="str">
        <f>"03597020373"</f>
        <v>03597020373</v>
      </c>
      <c r="I704" t="s">
        <v>671</v>
      </c>
      <c r="L704" t="s">
        <v>91</v>
      </c>
      <c r="AC704" t="s">
        <v>851</v>
      </c>
    </row>
    <row r="705" spans="1:29" ht="12.75">
      <c r="A705" t="str">
        <f>"6627341ECA"</f>
        <v>6627341ECA</v>
      </c>
      <c r="B705" t="str">
        <f>"02406911202"</f>
        <v>02406911202</v>
      </c>
      <c r="C705" t="s">
        <v>13</v>
      </c>
      <c r="D705" t="s">
        <v>30</v>
      </c>
      <c r="E705" t="s">
        <v>849</v>
      </c>
      <c r="F705" t="s">
        <v>32</v>
      </c>
      <c r="G705" t="str">
        <f>"02556750368"</f>
        <v>02556750368</v>
      </c>
      <c r="I705" t="s">
        <v>852</v>
      </c>
      <c r="L705" t="s">
        <v>91</v>
      </c>
      <c r="AC705" t="s">
        <v>851</v>
      </c>
    </row>
    <row r="706" spans="1:29" ht="12.75">
      <c r="A706" t="str">
        <f>"6627341ECA"</f>
        <v>6627341ECA</v>
      </c>
      <c r="B706" t="str">
        <f>"02406911202"</f>
        <v>02406911202</v>
      </c>
      <c r="C706" t="s">
        <v>13</v>
      </c>
      <c r="D706" t="s">
        <v>30</v>
      </c>
      <c r="E706" t="s">
        <v>849</v>
      </c>
      <c r="F706" t="s">
        <v>32</v>
      </c>
      <c r="G706" t="str">
        <f>"07146020586"</f>
        <v>07146020586</v>
      </c>
      <c r="I706" t="s">
        <v>316</v>
      </c>
      <c r="L706" t="s">
        <v>91</v>
      </c>
      <c r="AC706" t="s">
        <v>851</v>
      </c>
    </row>
    <row r="707" spans="1:29" ht="12.75">
      <c r="A707" t="str">
        <f>"6627341ECA"</f>
        <v>6627341ECA</v>
      </c>
      <c r="B707" t="str">
        <f>"02406911202"</f>
        <v>02406911202</v>
      </c>
      <c r="C707" t="s">
        <v>13</v>
      </c>
      <c r="D707" t="s">
        <v>30</v>
      </c>
      <c r="E707" t="s">
        <v>849</v>
      </c>
      <c r="F707" t="s">
        <v>32</v>
      </c>
      <c r="G707" t="str">
        <f>"00803890151"</f>
        <v>00803890151</v>
      </c>
      <c r="I707" t="s">
        <v>273</v>
      </c>
      <c r="L707" t="s">
        <v>91</v>
      </c>
      <c r="AC707" t="s">
        <v>851</v>
      </c>
    </row>
    <row r="708" spans="1:29" ht="12.75">
      <c r="A708" t="str">
        <f>"6789752898"</f>
        <v>6789752898</v>
      </c>
      <c r="B708" t="str">
        <f>"02406911202"</f>
        <v>02406911202</v>
      </c>
      <c r="C708" t="s">
        <v>13</v>
      </c>
      <c r="D708" t="s">
        <v>30</v>
      </c>
      <c r="E708" t="s">
        <v>853</v>
      </c>
      <c r="F708" t="s">
        <v>32</v>
      </c>
      <c r="M708">
        <v>0</v>
      </c>
      <c r="AC708" t="s">
        <v>854</v>
      </c>
    </row>
    <row r="709" spans="1:29" ht="12.75">
      <c r="A709" t="str">
        <f>"6789758D8A"</f>
        <v>6789758D8A</v>
      </c>
      <c r="B709" t="str">
        <f>"02406911202"</f>
        <v>02406911202</v>
      </c>
      <c r="C709" t="s">
        <v>13</v>
      </c>
      <c r="D709" t="s">
        <v>30</v>
      </c>
      <c r="E709" t="s">
        <v>855</v>
      </c>
      <c r="F709" t="s">
        <v>32</v>
      </c>
      <c r="M709">
        <v>0</v>
      </c>
      <c r="AC709" t="s">
        <v>854</v>
      </c>
    </row>
    <row r="710" spans="1:29" ht="12.75">
      <c r="A710" t="str">
        <f>"6801072628"</f>
        <v>6801072628</v>
      </c>
      <c r="B710" t="str">
        <f>"02406911202"</f>
        <v>02406911202</v>
      </c>
      <c r="C710" t="s">
        <v>13</v>
      </c>
      <c r="D710" t="s">
        <v>30</v>
      </c>
      <c r="E710" t="s">
        <v>856</v>
      </c>
      <c r="F710" t="s">
        <v>32</v>
      </c>
      <c r="G710" t="str">
        <f>"03222970406"</f>
        <v>03222970406</v>
      </c>
      <c r="I710" t="s">
        <v>857</v>
      </c>
      <c r="L710" t="s">
        <v>34</v>
      </c>
      <c r="M710">
        <v>119606.12</v>
      </c>
      <c r="O710">
        <v>33261.63</v>
      </c>
      <c r="P710">
        <v>3792.43</v>
      </c>
      <c r="Q710">
        <v>82552.06</v>
      </c>
      <c r="AA710" t="s">
        <v>858</v>
      </c>
      <c r="AB710" t="s">
        <v>859</v>
      </c>
      <c r="AC710" t="s">
        <v>860</v>
      </c>
    </row>
    <row r="711" spans="1:29" ht="12.75">
      <c r="A711" t="str">
        <f>"6801072628"</f>
        <v>6801072628</v>
      </c>
      <c r="B711" t="str">
        <f>"02406911202"</f>
        <v>02406911202</v>
      </c>
      <c r="C711" t="s">
        <v>13</v>
      </c>
      <c r="D711" t="s">
        <v>30</v>
      </c>
      <c r="E711" t="s">
        <v>856</v>
      </c>
      <c r="F711" t="s">
        <v>32</v>
      </c>
      <c r="G711" t="str">
        <f>"02464120373"</f>
        <v>02464120373</v>
      </c>
      <c r="I711" t="s">
        <v>861</v>
      </c>
      <c r="L711" t="s">
        <v>91</v>
      </c>
      <c r="AC711" t="s">
        <v>860</v>
      </c>
    </row>
    <row r="712" spans="1:29" ht="12.75">
      <c r="A712" t="str">
        <f>"6801072628"</f>
        <v>6801072628</v>
      </c>
      <c r="B712" t="str">
        <f>"02406911202"</f>
        <v>02406911202</v>
      </c>
      <c r="C712" t="s">
        <v>13</v>
      </c>
      <c r="D712" t="s">
        <v>30</v>
      </c>
      <c r="E712" t="s">
        <v>856</v>
      </c>
      <c r="F712" t="s">
        <v>32</v>
      </c>
      <c r="G712" t="str">
        <f>"00960900371"</f>
        <v>00960900371</v>
      </c>
      <c r="I712" t="s">
        <v>862</v>
      </c>
      <c r="L712" t="s">
        <v>91</v>
      </c>
      <c r="AC712" t="s">
        <v>860</v>
      </c>
    </row>
    <row r="713" spans="1:29" ht="12.75">
      <c r="A713" t="str">
        <f>"6801072628"</f>
        <v>6801072628</v>
      </c>
      <c r="B713" t="str">
        <f>"02406911202"</f>
        <v>02406911202</v>
      </c>
      <c r="C713" t="s">
        <v>13</v>
      </c>
      <c r="D713" t="s">
        <v>30</v>
      </c>
      <c r="E713" t="s">
        <v>856</v>
      </c>
      <c r="F713" t="s">
        <v>32</v>
      </c>
      <c r="G713" t="str">
        <f>"01550641201"</f>
        <v>01550641201</v>
      </c>
      <c r="I713" t="s">
        <v>863</v>
      </c>
      <c r="L713" t="s">
        <v>91</v>
      </c>
      <c r="AC713" t="s">
        <v>860</v>
      </c>
    </row>
    <row r="714" spans="1:29" ht="12.75">
      <c r="A714" t="str">
        <f>"6801072628"</f>
        <v>6801072628</v>
      </c>
      <c r="B714" t="str">
        <f>"02406911202"</f>
        <v>02406911202</v>
      </c>
      <c r="C714" t="s">
        <v>13</v>
      </c>
      <c r="D714" t="s">
        <v>30</v>
      </c>
      <c r="E714" t="s">
        <v>856</v>
      </c>
      <c r="F714" t="s">
        <v>32</v>
      </c>
      <c r="G714" t="str">
        <f>"01762630406"</f>
        <v>01762630406</v>
      </c>
      <c r="I714" t="s">
        <v>864</v>
      </c>
      <c r="L714" t="s">
        <v>91</v>
      </c>
      <c r="AC714" t="s">
        <v>860</v>
      </c>
    </row>
    <row r="715" spans="1:29" ht="12.75">
      <c r="A715" t="str">
        <f>"6801072628"</f>
        <v>6801072628</v>
      </c>
      <c r="B715" t="str">
        <f>"02406911202"</f>
        <v>02406911202</v>
      </c>
      <c r="C715" t="s">
        <v>13</v>
      </c>
      <c r="D715" t="s">
        <v>30</v>
      </c>
      <c r="E715" t="s">
        <v>856</v>
      </c>
      <c r="F715" t="s">
        <v>32</v>
      </c>
      <c r="G715" t="str">
        <f>"01703181204"</f>
        <v>01703181204</v>
      </c>
      <c r="I715" t="s">
        <v>865</v>
      </c>
      <c r="L715" t="s">
        <v>91</v>
      </c>
      <c r="AC715" t="s">
        <v>860</v>
      </c>
    </row>
    <row r="716" spans="1:29" ht="12.75">
      <c r="A716" t="str">
        <f>"68010926A9"</f>
        <v>68010926A9</v>
      </c>
      <c r="B716" t="str">
        <f>"02406911202"</f>
        <v>02406911202</v>
      </c>
      <c r="C716" t="s">
        <v>13</v>
      </c>
      <c r="D716" t="s">
        <v>30</v>
      </c>
      <c r="E716" t="s">
        <v>866</v>
      </c>
      <c r="F716" t="s">
        <v>408</v>
      </c>
      <c r="G716" t="str">
        <f>"03222970406"</f>
        <v>03222970406</v>
      </c>
      <c r="I716" t="s">
        <v>857</v>
      </c>
      <c r="L716" t="s">
        <v>34</v>
      </c>
      <c r="M716">
        <v>1208.7</v>
      </c>
      <c r="O716">
        <v>225.7</v>
      </c>
      <c r="P716">
        <v>172.6</v>
      </c>
      <c r="Q716">
        <v>810.4</v>
      </c>
      <c r="AA716" t="s">
        <v>858</v>
      </c>
      <c r="AB716" t="s">
        <v>859</v>
      </c>
      <c r="AC716" t="s">
        <v>860</v>
      </c>
    </row>
    <row r="717" spans="1:29" ht="12.75">
      <c r="A717" t="str">
        <f>"68010926A9"</f>
        <v>68010926A9</v>
      </c>
      <c r="B717" t="str">
        <f>"02406911202"</f>
        <v>02406911202</v>
      </c>
      <c r="C717" t="s">
        <v>13</v>
      </c>
      <c r="D717" t="s">
        <v>30</v>
      </c>
      <c r="E717" t="s">
        <v>866</v>
      </c>
      <c r="F717" t="s">
        <v>408</v>
      </c>
      <c r="G717" t="str">
        <f>"02464120373"</f>
        <v>02464120373</v>
      </c>
      <c r="I717" t="s">
        <v>861</v>
      </c>
      <c r="L717" t="s">
        <v>91</v>
      </c>
      <c r="AC717" t="s">
        <v>860</v>
      </c>
    </row>
    <row r="718" spans="1:29" ht="12.75">
      <c r="A718" t="str">
        <f>"68010926A9"</f>
        <v>68010926A9</v>
      </c>
      <c r="B718" t="str">
        <f>"02406911202"</f>
        <v>02406911202</v>
      </c>
      <c r="C718" t="s">
        <v>13</v>
      </c>
      <c r="D718" t="s">
        <v>30</v>
      </c>
      <c r="E718" t="s">
        <v>866</v>
      </c>
      <c r="F718" t="s">
        <v>408</v>
      </c>
      <c r="G718" t="str">
        <f>"00960900371"</f>
        <v>00960900371</v>
      </c>
      <c r="I718" t="s">
        <v>862</v>
      </c>
      <c r="L718" t="s">
        <v>91</v>
      </c>
      <c r="AC718" t="s">
        <v>860</v>
      </c>
    </row>
    <row r="719" spans="1:29" ht="12.75">
      <c r="A719" t="str">
        <f>"68010926A9"</f>
        <v>68010926A9</v>
      </c>
      <c r="B719" t="str">
        <f>"02406911202"</f>
        <v>02406911202</v>
      </c>
      <c r="C719" t="s">
        <v>13</v>
      </c>
      <c r="D719" t="s">
        <v>30</v>
      </c>
      <c r="E719" t="s">
        <v>866</v>
      </c>
      <c r="F719" t="s">
        <v>408</v>
      </c>
      <c r="G719" t="str">
        <f>"01762630406"</f>
        <v>01762630406</v>
      </c>
      <c r="I719" t="s">
        <v>864</v>
      </c>
      <c r="L719" t="s">
        <v>91</v>
      </c>
      <c r="AC719" t="s">
        <v>860</v>
      </c>
    </row>
    <row r="720" spans="1:29" ht="12.75">
      <c r="A720" t="str">
        <f>"68010926A9"</f>
        <v>68010926A9</v>
      </c>
      <c r="B720" t="str">
        <f>"02406911202"</f>
        <v>02406911202</v>
      </c>
      <c r="C720" t="s">
        <v>13</v>
      </c>
      <c r="D720" t="s">
        <v>30</v>
      </c>
      <c r="E720" t="s">
        <v>866</v>
      </c>
      <c r="F720" t="s">
        <v>408</v>
      </c>
      <c r="G720" t="str">
        <f>"01550641201"</f>
        <v>01550641201</v>
      </c>
      <c r="I720" t="s">
        <v>863</v>
      </c>
      <c r="L720" t="s">
        <v>91</v>
      </c>
      <c r="AC720" t="s">
        <v>860</v>
      </c>
    </row>
    <row r="721" spans="1:29" ht="12.75">
      <c r="A721" t="str">
        <f>"68010926A9"</f>
        <v>68010926A9</v>
      </c>
      <c r="B721" t="str">
        <f>"02406911202"</f>
        <v>02406911202</v>
      </c>
      <c r="C721" t="s">
        <v>13</v>
      </c>
      <c r="D721" t="s">
        <v>30</v>
      </c>
      <c r="E721" t="s">
        <v>866</v>
      </c>
      <c r="F721" t="s">
        <v>408</v>
      </c>
      <c r="G721" t="str">
        <f>"01703181204"</f>
        <v>01703181204</v>
      </c>
      <c r="I721" t="s">
        <v>865</v>
      </c>
      <c r="L721" t="s">
        <v>91</v>
      </c>
      <c r="AC721" t="s">
        <v>860</v>
      </c>
    </row>
    <row r="722" spans="1:29" ht="12.75">
      <c r="A722" t="str">
        <f>"68372136A7"</f>
        <v>68372136A7</v>
      </c>
      <c r="B722" t="str">
        <f>"02406911202"</f>
        <v>02406911202</v>
      </c>
      <c r="C722" t="s">
        <v>13</v>
      </c>
      <c r="D722" t="s">
        <v>30</v>
      </c>
      <c r="E722" t="s">
        <v>867</v>
      </c>
      <c r="F722" t="s">
        <v>32</v>
      </c>
      <c r="G722" t="str">
        <f>"11284400154"</f>
        <v>11284400154</v>
      </c>
      <c r="I722" t="s">
        <v>868</v>
      </c>
      <c r="L722" t="s">
        <v>34</v>
      </c>
      <c r="M722">
        <v>110850</v>
      </c>
      <c r="N722">
        <v>88294</v>
      </c>
      <c r="O722">
        <v>22556</v>
      </c>
      <c r="AC722" t="s">
        <v>869</v>
      </c>
    </row>
    <row r="723" spans="1:29" ht="12.75">
      <c r="A723" t="str">
        <f>"684308438F"</f>
        <v>684308438F</v>
      </c>
      <c r="B723" t="str">
        <f>"02406911202"</f>
        <v>02406911202</v>
      </c>
      <c r="C723" t="s">
        <v>13</v>
      </c>
      <c r="D723" t="s">
        <v>30</v>
      </c>
      <c r="E723" t="s">
        <v>870</v>
      </c>
      <c r="F723" t="s">
        <v>32</v>
      </c>
      <c r="G723" t="str">
        <f>"07676940153"</f>
        <v>07676940153</v>
      </c>
      <c r="I723" t="s">
        <v>494</v>
      </c>
      <c r="L723" t="s">
        <v>34</v>
      </c>
      <c r="M723">
        <v>11889.6</v>
      </c>
      <c r="O723">
        <v>11889.6</v>
      </c>
      <c r="AC723" t="s">
        <v>858</v>
      </c>
    </row>
    <row r="724" spans="1:29" ht="12.75">
      <c r="A724" t="str">
        <f>"6797152346"</f>
        <v>6797152346</v>
      </c>
      <c r="B724" t="str">
        <f>"02406911202"</f>
        <v>02406911202</v>
      </c>
      <c r="C724" t="s">
        <v>13</v>
      </c>
      <c r="D724" t="s">
        <v>30</v>
      </c>
      <c r="E724" t="s">
        <v>871</v>
      </c>
      <c r="F724" t="s">
        <v>32</v>
      </c>
      <c r="G724" t="str">
        <f>"03831290287"</f>
        <v>03831290287</v>
      </c>
      <c r="I724" t="s">
        <v>800</v>
      </c>
      <c r="L724" t="s">
        <v>34</v>
      </c>
      <c r="M724">
        <v>16015</v>
      </c>
      <c r="O724">
        <v>16015</v>
      </c>
      <c r="AC724" t="s">
        <v>872</v>
      </c>
    </row>
    <row r="725" spans="1:29" ht="12.75">
      <c r="A725" t="str">
        <f>"6797152346"</f>
        <v>6797152346</v>
      </c>
      <c r="B725" t="str">
        <f>"02406911202"</f>
        <v>02406911202</v>
      </c>
      <c r="C725" t="s">
        <v>13</v>
      </c>
      <c r="D725" t="s">
        <v>30</v>
      </c>
      <c r="E725" t="s">
        <v>871</v>
      </c>
      <c r="F725" t="s">
        <v>32</v>
      </c>
      <c r="G725" t="str">
        <f>"02431141205"</f>
        <v>02431141205</v>
      </c>
      <c r="I725" t="s">
        <v>642</v>
      </c>
      <c r="L725" t="s">
        <v>91</v>
      </c>
      <c r="AC725" t="s">
        <v>872</v>
      </c>
    </row>
    <row r="726" spans="1:29" ht="12.75">
      <c r="A726" t="str">
        <f>"6797152346"</f>
        <v>6797152346</v>
      </c>
      <c r="B726" t="str">
        <f>"02406911202"</f>
        <v>02406911202</v>
      </c>
      <c r="C726" t="s">
        <v>13</v>
      </c>
      <c r="D726" t="s">
        <v>30</v>
      </c>
      <c r="E726" t="s">
        <v>871</v>
      </c>
      <c r="F726" t="s">
        <v>32</v>
      </c>
      <c r="G726" t="str">
        <f>"07121831007"</f>
        <v>07121831007</v>
      </c>
      <c r="I726" t="s">
        <v>171</v>
      </c>
      <c r="L726" t="s">
        <v>91</v>
      </c>
      <c r="AC726" t="s">
        <v>872</v>
      </c>
    </row>
    <row r="727" spans="1:29" ht="12.75">
      <c r="A727" t="str">
        <f>"6797152346"</f>
        <v>6797152346</v>
      </c>
      <c r="B727" t="str">
        <f>"02406911202"</f>
        <v>02406911202</v>
      </c>
      <c r="C727" t="s">
        <v>13</v>
      </c>
      <c r="D727" t="s">
        <v>30</v>
      </c>
      <c r="E727" t="s">
        <v>871</v>
      </c>
      <c r="F727" t="s">
        <v>32</v>
      </c>
      <c r="G727" t="str">
        <f>"08439870158"</f>
        <v>08439870158</v>
      </c>
      <c r="I727" t="s">
        <v>873</v>
      </c>
      <c r="L727" t="s">
        <v>91</v>
      </c>
      <c r="AC727" t="s">
        <v>872</v>
      </c>
    </row>
    <row r="728" spans="1:29" ht="12.75">
      <c r="A728" t="str">
        <f>"6797152346"</f>
        <v>6797152346</v>
      </c>
      <c r="B728" t="str">
        <f>"02406911202"</f>
        <v>02406911202</v>
      </c>
      <c r="C728" t="s">
        <v>13</v>
      </c>
      <c r="D728" t="s">
        <v>30</v>
      </c>
      <c r="E728" t="s">
        <v>871</v>
      </c>
      <c r="F728" t="s">
        <v>32</v>
      </c>
      <c r="G728" t="str">
        <f>"08641790152"</f>
        <v>08641790152</v>
      </c>
      <c r="I728" t="s">
        <v>585</v>
      </c>
      <c r="L728" t="s">
        <v>91</v>
      </c>
      <c r="AC728" t="s">
        <v>872</v>
      </c>
    </row>
    <row r="729" spans="1:29" ht="12.75">
      <c r="A729" t="str">
        <f>"6797152346"</f>
        <v>6797152346</v>
      </c>
      <c r="B729" t="str">
        <f>"02406911202"</f>
        <v>02406911202</v>
      </c>
      <c r="C729" t="s">
        <v>13</v>
      </c>
      <c r="D729" t="s">
        <v>30</v>
      </c>
      <c r="E729" t="s">
        <v>871</v>
      </c>
      <c r="F729" t="s">
        <v>32</v>
      </c>
      <c r="G729" t="str">
        <f>"03222390159"</f>
        <v>03222390159</v>
      </c>
      <c r="I729" t="s">
        <v>874</v>
      </c>
      <c r="L729" t="s">
        <v>91</v>
      </c>
      <c r="AC729" t="s">
        <v>872</v>
      </c>
    </row>
    <row r="730" spans="1:29" ht="12.75">
      <c r="A730" t="str">
        <f>"680434317A"</f>
        <v>680434317A</v>
      </c>
      <c r="B730" t="str">
        <f>"02406911202"</f>
        <v>02406911202</v>
      </c>
      <c r="C730" t="s">
        <v>13</v>
      </c>
      <c r="D730" t="s">
        <v>30</v>
      </c>
      <c r="E730" t="s">
        <v>875</v>
      </c>
      <c r="F730" t="s">
        <v>32</v>
      </c>
      <c r="G730" t="str">
        <f>"08230471008"</f>
        <v>08230471008</v>
      </c>
      <c r="I730" t="s">
        <v>297</v>
      </c>
      <c r="L730" t="s">
        <v>34</v>
      </c>
      <c r="M730">
        <v>210319.2</v>
      </c>
      <c r="O730">
        <v>210319.2</v>
      </c>
      <c r="AC730" t="s">
        <v>876</v>
      </c>
    </row>
    <row r="731" spans="1:29" ht="12.75">
      <c r="A731" t="str">
        <f>"68043929E"</f>
        <v>68043929E</v>
      </c>
      <c r="B731" t="str">
        <f>"02406911202"</f>
        <v>02406911202</v>
      </c>
      <c r="C731" t="s">
        <v>13</v>
      </c>
      <c r="D731" t="s">
        <v>30</v>
      </c>
      <c r="E731" t="s">
        <v>877</v>
      </c>
      <c r="F731" t="s">
        <v>32</v>
      </c>
      <c r="G731" t="str">
        <f>"03409231200"</f>
        <v>03409231200</v>
      </c>
      <c r="I731" t="s">
        <v>878</v>
      </c>
      <c r="L731" t="s">
        <v>34</v>
      </c>
      <c r="M731">
        <v>48000</v>
      </c>
      <c r="O731">
        <v>48000</v>
      </c>
      <c r="AC731" t="s">
        <v>876</v>
      </c>
    </row>
    <row r="732" spans="1:29" ht="12.75">
      <c r="A732" t="str">
        <f>"675422639E"</f>
        <v>675422639E</v>
      </c>
      <c r="B732" t="str">
        <f>"02406911202"</f>
        <v>02406911202</v>
      </c>
      <c r="C732" t="s">
        <v>13</v>
      </c>
      <c r="D732" t="s">
        <v>30</v>
      </c>
      <c r="E732" t="s">
        <v>879</v>
      </c>
      <c r="F732" t="s">
        <v>32</v>
      </c>
      <c r="G732" t="str">
        <f>"12792100153"</f>
        <v>12792100153</v>
      </c>
      <c r="I732" t="s">
        <v>621</v>
      </c>
      <c r="L732" t="s">
        <v>34</v>
      </c>
      <c r="M732">
        <v>215398.77</v>
      </c>
      <c r="O732">
        <v>215398.77</v>
      </c>
      <c r="AA732" t="s">
        <v>876</v>
      </c>
      <c r="AB732" t="s">
        <v>880</v>
      </c>
      <c r="AC732" t="s">
        <v>881</v>
      </c>
    </row>
    <row r="733" spans="1:29" ht="12.75">
      <c r="A733" t="str">
        <f>"6813683D13"</f>
        <v>6813683D13</v>
      </c>
      <c r="B733" t="str">
        <f>"02406911202"</f>
        <v>02406911202</v>
      </c>
      <c r="C733" t="s">
        <v>13</v>
      </c>
      <c r="D733" t="s">
        <v>30</v>
      </c>
      <c r="E733" t="s">
        <v>882</v>
      </c>
      <c r="F733" t="s">
        <v>253</v>
      </c>
      <c r="G733" t="str">
        <f>"02817851203"</f>
        <v>02817851203</v>
      </c>
      <c r="I733" t="s">
        <v>883</v>
      </c>
      <c r="L733" t="s">
        <v>34</v>
      </c>
      <c r="M733">
        <v>89615</v>
      </c>
      <c r="P733">
        <v>89615</v>
      </c>
      <c r="AC733" t="s">
        <v>884</v>
      </c>
    </row>
    <row r="734" spans="1:29" ht="12.75">
      <c r="A734" t="str">
        <f>"6813683D13"</f>
        <v>6813683D13</v>
      </c>
      <c r="B734" t="str">
        <f>"02406911202"</f>
        <v>02406911202</v>
      </c>
      <c r="C734" t="s">
        <v>13</v>
      </c>
      <c r="D734" t="s">
        <v>30</v>
      </c>
      <c r="E734" t="s">
        <v>882</v>
      </c>
      <c r="F734" t="s">
        <v>253</v>
      </c>
      <c r="G734" t="str">
        <f>"00711530212"</f>
        <v>00711530212</v>
      </c>
      <c r="I734" t="s">
        <v>885</v>
      </c>
      <c r="L734" t="s">
        <v>91</v>
      </c>
      <c r="AC734" t="s">
        <v>884</v>
      </c>
    </row>
    <row r="735" spans="1:29" ht="12.75">
      <c r="A735" t="str">
        <f>"6813683D13"</f>
        <v>6813683D13</v>
      </c>
      <c r="B735" t="str">
        <f>"02406911202"</f>
        <v>02406911202</v>
      </c>
      <c r="C735" t="s">
        <v>13</v>
      </c>
      <c r="D735" t="s">
        <v>30</v>
      </c>
      <c r="E735" t="s">
        <v>882</v>
      </c>
      <c r="F735" t="s">
        <v>253</v>
      </c>
      <c r="G735" t="str">
        <f>"09119360015"</f>
        <v>09119360015</v>
      </c>
      <c r="I735" t="s">
        <v>886</v>
      </c>
      <c r="L735" t="s">
        <v>91</v>
      </c>
      <c r="AC735" t="s">
        <v>884</v>
      </c>
    </row>
    <row r="736" spans="1:29" ht="12.75">
      <c r="A736" t="str">
        <f>"6813683D13"</f>
        <v>6813683D13</v>
      </c>
      <c r="B736" t="str">
        <f>"02406911202"</f>
        <v>02406911202</v>
      </c>
      <c r="C736" t="s">
        <v>13</v>
      </c>
      <c r="D736" t="s">
        <v>30</v>
      </c>
      <c r="E736" t="s">
        <v>882</v>
      </c>
      <c r="F736" t="s">
        <v>253</v>
      </c>
      <c r="G736" t="str">
        <f>"01562820066"</f>
        <v>01562820066</v>
      </c>
      <c r="I736" t="s">
        <v>887</v>
      </c>
      <c r="L736" t="s">
        <v>91</v>
      </c>
      <c r="AC736" t="s">
        <v>884</v>
      </c>
    </row>
    <row r="737" spans="1:29" ht="12.75">
      <c r="A737" t="str">
        <f>"6813683D13"</f>
        <v>6813683D13</v>
      </c>
      <c r="B737" t="str">
        <f>"02406911202"</f>
        <v>02406911202</v>
      </c>
      <c r="C737" t="s">
        <v>13</v>
      </c>
      <c r="D737" t="s">
        <v>30</v>
      </c>
      <c r="E737" t="s">
        <v>882</v>
      </c>
      <c r="F737" t="s">
        <v>253</v>
      </c>
      <c r="G737" t="str">
        <f>"01969880242"</f>
        <v>01969880242</v>
      </c>
      <c r="I737" t="s">
        <v>888</v>
      </c>
      <c r="L737" t="s">
        <v>91</v>
      </c>
      <c r="AC737" t="s">
        <v>884</v>
      </c>
    </row>
    <row r="738" spans="1:29" ht="12.75">
      <c r="A738" t="str">
        <f>"6813683D13"</f>
        <v>6813683D13</v>
      </c>
      <c r="B738" t="str">
        <f>"02406911202"</f>
        <v>02406911202</v>
      </c>
      <c r="C738" t="s">
        <v>13</v>
      </c>
      <c r="D738" t="s">
        <v>30</v>
      </c>
      <c r="E738" t="s">
        <v>882</v>
      </c>
      <c r="F738" t="s">
        <v>253</v>
      </c>
      <c r="G738" t="str">
        <f>"05648320017"</f>
        <v>05648320017</v>
      </c>
      <c r="I738" t="s">
        <v>889</v>
      </c>
      <c r="L738" t="s">
        <v>91</v>
      </c>
      <c r="AC738" t="s">
        <v>884</v>
      </c>
    </row>
    <row r="739" spans="1:29" ht="12.75">
      <c r="A739" t="str">
        <f>"6813683D13"</f>
        <v>6813683D13</v>
      </c>
      <c r="B739" t="str">
        <f>"02406911202"</f>
        <v>02406911202</v>
      </c>
      <c r="C739" t="s">
        <v>13</v>
      </c>
      <c r="D739" t="s">
        <v>30</v>
      </c>
      <c r="E739" t="s">
        <v>882</v>
      </c>
      <c r="F739" t="s">
        <v>253</v>
      </c>
      <c r="G739" t="str">
        <f>"01276960133"</f>
        <v>01276960133</v>
      </c>
      <c r="I739" t="s">
        <v>890</v>
      </c>
      <c r="L739" t="s">
        <v>91</v>
      </c>
      <c r="AC739" t="s">
        <v>884</v>
      </c>
    </row>
    <row r="740" spans="1:29" ht="12.75">
      <c r="A740" t="str">
        <f>"6781485275"</f>
        <v>6781485275</v>
      </c>
      <c r="B740" t="str">
        <f>"02406911202"</f>
        <v>02406911202</v>
      </c>
      <c r="C740" t="s">
        <v>13</v>
      </c>
      <c r="D740" t="s">
        <v>30</v>
      </c>
      <c r="E740" t="s">
        <v>891</v>
      </c>
      <c r="F740" t="s">
        <v>32</v>
      </c>
      <c r="AC740" t="s">
        <v>892</v>
      </c>
    </row>
    <row r="741" spans="1:29" ht="12.75">
      <c r="A741" t="str">
        <f>"6781504223"</f>
        <v>6781504223</v>
      </c>
      <c r="B741" t="str">
        <f>"02406911202"</f>
        <v>02406911202</v>
      </c>
      <c r="C741" t="s">
        <v>13</v>
      </c>
      <c r="D741" t="s">
        <v>30</v>
      </c>
      <c r="E741" t="s">
        <v>893</v>
      </c>
      <c r="F741" t="s">
        <v>32</v>
      </c>
      <c r="AC741" t="s">
        <v>892</v>
      </c>
    </row>
    <row r="742" spans="1:29" ht="12.75">
      <c r="A742" t="str">
        <f>"678150749C"</f>
        <v>678150749C</v>
      </c>
      <c r="B742" t="str">
        <f>"02406911202"</f>
        <v>02406911202</v>
      </c>
      <c r="C742" t="s">
        <v>13</v>
      </c>
      <c r="D742" t="s">
        <v>30</v>
      </c>
      <c r="E742" t="s">
        <v>894</v>
      </c>
      <c r="F742" t="s">
        <v>32</v>
      </c>
      <c r="AC742" t="s">
        <v>892</v>
      </c>
    </row>
    <row r="743" spans="1:29" ht="12.75">
      <c r="A743" t="str">
        <f>"67815117E8"</f>
        <v>67815117E8</v>
      </c>
      <c r="B743" t="str">
        <f>"02406911202"</f>
        <v>02406911202</v>
      </c>
      <c r="C743" t="s">
        <v>13</v>
      </c>
      <c r="D743" t="s">
        <v>30</v>
      </c>
      <c r="E743" t="s">
        <v>895</v>
      </c>
      <c r="F743" t="s">
        <v>32</v>
      </c>
      <c r="AC743" t="s">
        <v>892</v>
      </c>
    </row>
    <row r="744" spans="1:29" ht="12.75">
      <c r="A744" t="str">
        <f>"6781518DAD"</f>
        <v>6781518DAD</v>
      </c>
      <c r="B744" t="str">
        <f>"02406911202"</f>
        <v>02406911202</v>
      </c>
      <c r="C744" t="s">
        <v>13</v>
      </c>
      <c r="D744" t="s">
        <v>30</v>
      </c>
      <c r="E744" t="s">
        <v>896</v>
      </c>
      <c r="F744" t="s">
        <v>32</v>
      </c>
      <c r="AC744" t="s">
        <v>892</v>
      </c>
    </row>
    <row r="745" spans="1:29" ht="12.75">
      <c r="A745" t="str">
        <f>"67815220FE"</f>
        <v>67815220FE</v>
      </c>
      <c r="B745" t="str">
        <f>"02406911202"</f>
        <v>02406911202</v>
      </c>
      <c r="C745" t="s">
        <v>13</v>
      </c>
      <c r="D745" t="s">
        <v>30</v>
      </c>
      <c r="E745" t="s">
        <v>897</v>
      </c>
      <c r="F745" t="s">
        <v>32</v>
      </c>
      <c r="AC745" t="s">
        <v>892</v>
      </c>
    </row>
    <row r="746" spans="1:29" ht="12.75">
      <c r="A746" t="str">
        <f>"6781558EAF"</f>
        <v>6781558EAF</v>
      </c>
      <c r="B746" t="str">
        <f>"02406911202"</f>
        <v>02406911202</v>
      </c>
      <c r="C746" t="s">
        <v>13</v>
      </c>
      <c r="D746" t="s">
        <v>30</v>
      </c>
      <c r="E746" t="s">
        <v>898</v>
      </c>
      <c r="F746" t="s">
        <v>32</v>
      </c>
      <c r="AC746" t="s">
        <v>892</v>
      </c>
    </row>
    <row r="747" spans="1:29" ht="12.75">
      <c r="A747" t="str">
        <f>"6781562200"</f>
        <v>6781562200</v>
      </c>
      <c r="B747" t="str">
        <f>"02406911202"</f>
        <v>02406911202</v>
      </c>
      <c r="C747" t="s">
        <v>13</v>
      </c>
      <c r="D747" t="s">
        <v>30</v>
      </c>
      <c r="E747" t="s">
        <v>899</v>
      </c>
      <c r="F747" t="s">
        <v>32</v>
      </c>
      <c r="AC747" t="s">
        <v>892</v>
      </c>
    </row>
    <row r="748" spans="1:29" ht="12.75">
      <c r="A748" t="str">
        <f>"67815643A6"</f>
        <v>67815643A6</v>
      </c>
      <c r="B748" t="str">
        <f>"02406911202"</f>
        <v>02406911202</v>
      </c>
      <c r="C748" t="s">
        <v>13</v>
      </c>
      <c r="D748" t="s">
        <v>30</v>
      </c>
      <c r="E748" t="s">
        <v>900</v>
      </c>
      <c r="F748" t="s">
        <v>32</v>
      </c>
      <c r="AC748" t="s">
        <v>892</v>
      </c>
    </row>
    <row r="749" spans="1:29" ht="12.75">
      <c r="A749" t="str">
        <f>"678156654C"</f>
        <v>678156654C</v>
      </c>
      <c r="B749" t="str">
        <f>"02406911202"</f>
        <v>02406911202</v>
      </c>
      <c r="C749" t="s">
        <v>13</v>
      </c>
      <c r="D749" t="s">
        <v>30</v>
      </c>
      <c r="E749" t="s">
        <v>901</v>
      </c>
      <c r="F749" t="s">
        <v>32</v>
      </c>
      <c r="AC749" t="s">
        <v>892</v>
      </c>
    </row>
    <row r="750" spans="1:29" ht="12.75">
      <c r="A750" t="str">
        <f>"6781570898"</f>
        <v>6781570898</v>
      </c>
      <c r="B750" t="str">
        <f>"02406911202"</f>
        <v>02406911202</v>
      </c>
      <c r="C750" t="s">
        <v>13</v>
      </c>
      <c r="D750" t="s">
        <v>30</v>
      </c>
      <c r="E750" t="s">
        <v>902</v>
      </c>
      <c r="F750" t="s">
        <v>32</v>
      </c>
      <c r="AC750" t="s">
        <v>892</v>
      </c>
    </row>
    <row r="751" spans="1:29" ht="12.75">
      <c r="A751" t="str">
        <f>"6781574BE4"</f>
        <v>6781574BE4</v>
      </c>
      <c r="B751" t="str">
        <f>"02406911202"</f>
        <v>02406911202</v>
      </c>
      <c r="C751" t="s">
        <v>13</v>
      </c>
      <c r="D751" t="s">
        <v>30</v>
      </c>
      <c r="E751" t="s">
        <v>903</v>
      </c>
      <c r="F751" t="s">
        <v>32</v>
      </c>
      <c r="AC751" t="s">
        <v>892</v>
      </c>
    </row>
    <row r="752" spans="1:29" ht="12.75">
      <c r="A752" t="str">
        <f>"6781588773"</f>
        <v>6781588773</v>
      </c>
      <c r="B752" t="str">
        <f>"02406911202"</f>
        <v>02406911202</v>
      </c>
      <c r="C752" t="s">
        <v>13</v>
      </c>
      <c r="D752" t="s">
        <v>30</v>
      </c>
      <c r="E752" t="s">
        <v>904</v>
      </c>
      <c r="F752" t="s">
        <v>32</v>
      </c>
      <c r="AC752" t="s">
        <v>892</v>
      </c>
    </row>
    <row r="753" spans="1:29" ht="12.75">
      <c r="A753" t="str">
        <f>"6781590919"</f>
        <v>6781590919</v>
      </c>
      <c r="B753" t="str">
        <f>"02406911202"</f>
        <v>02406911202</v>
      </c>
      <c r="C753" t="s">
        <v>13</v>
      </c>
      <c r="D753" t="s">
        <v>30</v>
      </c>
      <c r="E753" t="s">
        <v>905</v>
      </c>
      <c r="F753" t="s">
        <v>32</v>
      </c>
      <c r="AC753" t="s">
        <v>892</v>
      </c>
    </row>
    <row r="754" spans="1:29" ht="12.75">
      <c r="A754" t="str">
        <f>"6781592ABF"</f>
        <v>6781592ABF</v>
      </c>
      <c r="B754" t="str">
        <f>"02406911202"</f>
        <v>02406911202</v>
      </c>
      <c r="C754" t="s">
        <v>13</v>
      </c>
      <c r="D754" t="s">
        <v>30</v>
      </c>
      <c r="E754" t="s">
        <v>906</v>
      </c>
      <c r="F754" t="s">
        <v>32</v>
      </c>
      <c r="AC754" t="s">
        <v>892</v>
      </c>
    </row>
    <row r="755" spans="1:29" ht="12.75">
      <c r="A755" t="str">
        <f>"6782060CF3"</f>
        <v>6782060CF3</v>
      </c>
      <c r="B755" t="str">
        <f>"02406911202"</f>
        <v>02406911202</v>
      </c>
      <c r="C755" t="s">
        <v>13</v>
      </c>
      <c r="D755" t="s">
        <v>30</v>
      </c>
      <c r="E755" t="s">
        <v>907</v>
      </c>
      <c r="F755" t="s">
        <v>32</v>
      </c>
      <c r="AC755" t="s">
        <v>892</v>
      </c>
    </row>
    <row r="756" spans="1:29" ht="12.75">
      <c r="A756" t="str">
        <f>"6782068390"</f>
        <v>6782068390</v>
      </c>
      <c r="B756" t="str">
        <f>"02406911202"</f>
        <v>02406911202</v>
      </c>
      <c r="C756" t="s">
        <v>13</v>
      </c>
      <c r="D756" t="s">
        <v>30</v>
      </c>
      <c r="E756" t="s">
        <v>908</v>
      </c>
      <c r="F756" t="s">
        <v>32</v>
      </c>
      <c r="AC756" t="s">
        <v>892</v>
      </c>
    </row>
    <row r="757" spans="1:29" ht="12.75">
      <c r="A757" t="str">
        <f>"6782075955"</f>
        <v>6782075955</v>
      </c>
      <c r="B757" t="str">
        <f>"02406911202"</f>
        <v>02406911202</v>
      </c>
      <c r="C757" t="s">
        <v>13</v>
      </c>
      <c r="D757" t="s">
        <v>30</v>
      </c>
      <c r="E757" t="s">
        <v>909</v>
      </c>
      <c r="F757" t="s">
        <v>32</v>
      </c>
      <c r="AC757" t="s">
        <v>892</v>
      </c>
    </row>
    <row r="758" spans="1:29" ht="12.75">
      <c r="A758" t="str">
        <f>"6782088411"</f>
        <v>6782088411</v>
      </c>
      <c r="B758" t="str">
        <f>"02406911202"</f>
        <v>02406911202</v>
      </c>
      <c r="C758" t="s">
        <v>13</v>
      </c>
      <c r="D758" t="s">
        <v>30</v>
      </c>
      <c r="E758" t="s">
        <v>910</v>
      </c>
      <c r="F758" t="s">
        <v>32</v>
      </c>
      <c r="AC758" t="s">
        <v>892</v>
      </c>
    </row>
    <row r="759" spans="1:29" ht="12.75">
      <c r="A759" t="str">
        <f>"6782097B7C"</f>
        <v>6782097B7C</v>
      </c>
      <c r="B759" t="str">
        <f>"02406911202"</f>
        <v>02406911202</v>
      </c>
      <c r="C759" t="s">
        <v>13</v>
      </c>
      <c r="D759" t="s">
        <v>30</v>
      </c>
      <c r="E759" t="s">
        <v>911</v>
      </c>
      <c r="F759" t="s">
        <v>32</v>
      </c>
      <c r="AC759" t="s">
        <v>892</v>
      </c>
    </row>
    <row r="760" spans="1:29" ht="12.75">
      <c r="A760" t="str">
        <f>"6782102F9B"</f>
        <v>6782102F9B</v>
      </c>
      <c r="B760" t="str">
        <f>"02406911202"</f>
        <v>02406911202</v>
      </c>
      <c r="C760" t="s">
        <v>13</v>
      </c>
      <c r="D760" t="s">
        <v>30</v>
      </c>
      <c r="E760" t="s">
        <v>912</v>
      </c>
      <c r="F760" t="s">
        <v>32</v>
      </c>
      <c r="AC760" t="s">
        <v>892</v>
      </c>
    </row>
    <row r="761" spans="1:29" ht="12.75">
      <c r="A761" t="str">
        <f>"678221902D"</f>
        <v>678221902D</v>
      </c>
      <c r="B761" t="str">
        <f>"02406911202"</f>
        <v>02406911202</v>
      </c>
      <c r="C761" t="s">
        <v>13</v>
      </c>
      <c r="D761" t="s">
        <v>30</v>
      </c>
      <c r="E761" t="s">
        <v>913</v>
      </c>
      <c r="F761" t="s">
        <v>32</v>
      </c>
      <c r="AC761" t="s">
        <v>892</v>
      </c>
    </row>
    <row r="762" spans="1:29" ht="12.75">
      <c r="A762" t="str">
        <f>"67822265F2"</f>
        <v>67822265F2</v>
      </c>
      <c r="B762" t="str">
        <f>"02406911202"</f>
        <v>02406911202</v>
      </c>
      <c r="C762" t="s">
        <v>13</v>
      </c>
      <c r="D762" t="s">
        <v>30</v>
      </c>
      <c r="E762" t="s">
        <v>914</v>
      </c>
      <c r="F762" t="s">
        <v>32</v>
      </c>
      <c r="AC762" t="s">
        <v>892</v>
      </c>
    </row>
    <row r="763" spans="1:29" ht="12.75">
      <c r="A763" t="str">
        <f>"678223093E"</f>
        <v>678223093E</v>
      </c>
      <c r="B763" t="str">
        <f>"02406911202"</f>
        <v>02406911202</v>
      </c>
      <c r="C763" t="s">
        <v>13</v>
      </c>
      <c r="D763" t="s">
        <v>30</v>
      </c>
      <c r="E763" t="s">
        <v>915</v>
      </c>
      <c r="F763" t="s">
        <v>32</v>
      </c>
      <c r="AC763" t="s">
        <v>892</v>
      </c>
    </row>
    <row r="764" spans="1:29" ht="12.75">
      <c r="A764" t="str">
        <f>"6782233BB7"</f>
        <v>6782233BB7</v>
      </c>
      <c r="B764" t="str">
        <f>"02406911202"</f>
        <v>02406911202</v>
      </c>
      <c r="C764" t="s">
        <v>13</v>
      </c>
      <c r="D764" t="s">
        <v>30</v>
      </c>
      <c r="E764" t="s">
        <v>916</v>
      </c>
      <c r="F764" t="s">
        <v>32</v>
      </c>
      <c r="AC764" t="s">
        <v>892</v>
      </c>
    </row>
    <row r="765" spans="1:29" ht="12.75">
      <c r="A765" t="str">
        <f>"6782241254"</f>
        <v>6782241254</v>
      </c>
      <c r="B765" t="str">
        <f>"02406911202"</f>
        <v>02406911202</v>
      </c>
      <c r="C765" t="s">
        <v>13</v>
      </c>
      <c r="D765" t="s">
        <v>30</v>
      </c>
      <c r="E765" t="s">
        <v>917</v>
      </c>
      <c r="F765" t="s">
        <v>32</v>
      </c>
      <c r="AC765" t="s">
        <v>892</v>
      </c>
    </row>
    <row r="766" spans="1:29" ht="12.75">
      <c r="A766" t="str">
        <f>"6782256EB1"</f>
        <v>6782256EB1</v>
      </c>
      <c r="B766" t="str">
        <f>"02406911202"</f>
        <v>02406911202</v>
      </c>
      <c r="C766" t="s">
        <v>13</v>
      </c>
      <c r="D766" t="s">
        <v>30</v>
      </c>
      <c r="E766" t="s">
        <v>918</v>
      </c>
      <c r="F766" t="s">
        <v>32</v>
      </c>
      <c r="AC766" t="s">
        <v>892</v>
      </c>
    </row>
    <row r="767" spans="1:29" ht="12.75">
      <c r="A767" t="str">
        <f>"678226347B"</f>
        <v>678226347B</v>
      </c>
      <c r="B767" t="str">
        <f>"02406911202"</f>
        <v>02406911202</v>
      </c>
      <c r="C767" t="s">
        <v>13</v>
      </c>
      <c r="D767" t="s">
        <v>30</v>
      </c>
      <c r="E767" t="s">
        <v>919</v>
      </c>
      <c r="F767" t="s">
        <v>32</v>
      </c>
      <c r="AC767" t="s">
        <v>892</v>
      </c>
    </row>
    <row r="768" spans="1:29" ht="12.75">
      <c r="A768" t="str">
        <f>"67822677C7"</f>
        <v>67822677C7</v>
      </c>
      <c r="B768" t="str">
        <f>"02406911202"</f>
        <v>02406911202</v>
      </c>
      <c r="C768" t="s">
        <v>13</v>
      </c>
      <c r="D768" t="s">
        <v>30</v>
      </c>
      <c r="E768" t="s">
        <v>920</v>
      </c>
      <c r="F768" t="s">
        <v>32</v>
      </c>
      <c r="AC768" t="s">
        <v>892</v>
      </c>
    </row>
    <row r="769" spans="1:29" ht="12.75">
      <c r="A769" t="str">
        <f>"6782271B13"</f>
        <v>6782271B13</v>
      </c>
      <c r="B769" t="str">
        <f>"02406911202"</f>
        <v>02406911202</v>
      </c>
      <c r="C769" t="s">
        <v>13</v>
      </c>
      <c r="D769" t="s">
        <v>30</v>
      </c>
      <c r="E769" t="s">
        <v>921</v>
      </c>
      <c r="F769" t="s">
        <v>32</v>
      </c>
      <c r="AC769" t="s">
        <v>892</v>
      </c>
    </row>
    <row r="770" spans="1:29" ht="12.75">
      <c r="A770" t="str">
        <f>"6782274D8C"</f>
        <v>6782274D8C</v>
      </c>
      <c r="B770" t="str">
        <f>"02406911202"</f>
        <v>02406911202</v>
      </c>
      <c r="C770" t="s">
        <v>13</v>
      </c>
      <c r="D770" t="s">
        <v>30</v>
      </c>
      <c r="E770" t="s">
        <v>922</v>
      </c>
      <c r="F770" t="s">
        <v>32</v>
      </c>
      <c r="AC770" t="s">
        <v>892</v>
      </c>
    </row>
    <row r="771" spans="1:29" ht="12.75">
      <c r="A771" t="str">
        <f>"67823246D1"</f>
        <v>67823246D1</v>
      </c>
      <c r="B771" t="str">
        <f>"02406911202"</f>
        <v>02406911202</v>
      </c>
      <c r="C771" t="s">
        <v>13</v>
      </c>
      <c r="D771" t="s">
        <v>30</v>
      </c>
      <c r="E771" t="s">
        <v>923</v>
      </c>
      <c r="F771" t="s">
        <v>32</v>
      </c>
      <c r="AC771" t="s">
        <v>892</v>
      </c>
    </row>
    <row r="772" spans="1:29" ht="12.75">
      <c r="A772" t="str">
        <f>"6782477514"</f>
        <v>6782477514</v>
      </c>
      <c r="B772" t="str">
        <f>"02406911202"</f>
        <v>02406911202</v>
      </c>
      <c r="C772" t="s">
        <v>13</v>
      </c>
      <c r="D772" t="s">
        <v>30</v>
      </c>
      <c r="E772" t="s">
        <v>924</v>
      </c>
      <c r="F772" t="s">
        <v>32</v>
      </c>
      <c r="AC772" t="s">
        <v>892</v>
      </c>
    </row>
    <row r="773" spans="1:29" ht="12.75">
      <c r="A773" t="str">
        <f>"6854749DCF"</f>
        <v>6854749DCF</v>
      </c>
      <c r="B773" t="str">
        <f>"02406911202"</f>
        <v>02406911202</v>
      </c>
      <c r="C773" t="s">
        <v>13</v>
      </c>
      <c r="D773" t="s">
        <v>30</v>
      </c>
      <c r="E773" t="s">
        <v>925</v>
      </c>
      <c r="F773" t="s">
        <v>46</v>
      </c>
      <c r="G773" t="str">
        <f>"01768611202"</f>
        <v>01768611202</v>
      </c>
      <c r="I773" t="s">
        <v>926</v>
      </c>
      <c r="L773" t="s">
        <v>34</v>
      </c>
      <c r="M773">
        <v>40726.23</v>
      </c>
      <c r="Q773">
        <v>40726.23</v>
      </c>
      <c r="AC773" t="s">
        <v>927</v>
      </c>
    </row>
    <row r="774" spans="1:29" ht="12.75">
      <c r="A774" t="str">
        <f>"6782484AD9"</f>
        <v>6782484AD9</v>
      </c>
      <c r="B774" t="str">
        <f>"02406911202"</f>
        <v>02406911202</v>
      </c>
      <c r="C774" t="s">
        <v>13</v>
      </c>
      <c r="D774" t="s">
        <v>30</v>
      </c>
      <c r="E774" t="s">
        <v>928</v>
      </c>
      <c r="F774" t="s">
        <v>32</v>
      </c>
      <c r="AC774" t="s">
        <v>892</v>
      </c>
    </row>
    <row r="775" spans="1:29" ht="12.75">
      <c r="A775" t="str">
        <f>"6782485BAC"</f>
        <v>6782485BAC</v>
      </c>
      <c r="B775" t="str">
        <f>"02406911202"</f>
        <v>02406911202</v>
      </c>
      <c r="C775" t="s">
        <v>13</v>
      </c>
      <c r="D775" t="s">
        <v>30</v>
      </c>
      <c r="E775" t="s">
        <v>929</v>
      </c>
      <c r="F775" t="s">
        <v>32</v>
      </c>
      <c r="AC775" t="s">
        <v>892</v>
      </c>
    </row>
    <row r="776" spans="1:29" ht="12.75">
      <c r="A776" t="str">
        <f>"6782487D52"</f>
        <v>6782487D52</v>
      </c>
      <c r="B776" t="str">
        <f>"02406911202"</f>
        <v>02406911202</v>
      </c>
      <c r="C776" t="s">
        <v>13</v>
      </c>
      <c r="D776" t="s">
        <v>30</v>
      </c>
      <c r="E776" t="s">
        <v>930</v>
      </c>
      <c r="F776" t="s">
        <v>32</v>
      </c>
      <c r="AC776" t="s">
        <v>892</v>
      </c>
    </row>
    <row r="777" spans="1:29" ht="12.75">
      <c r="A777" t="str">
        <f>"6782489EF8"</f>
        <v>6782489EF8</v>
      </c>
      <c r="B777" t="str">
        <f>"02406911202"</f>
        <v>02406911202</v>
      </c>
      <c r="C777" t="s">
        <v>13</v>
      </c>
      <c r="D777" t="s">
        <v>30</v>
      </c>
      <c r="E777" t="s">
        <v>931</v>
      </c>
      <c r="F777" t="s">
        <v>32</v>
      </c>
      <c r="AC777" t="s">
        <v>892</v>
      </c>
    </row>
    <row r="778" spans="1:29" ht="12.75">
      <c r="A778" t="str">
        <f>"6782492176"</f>
        <v>6782492176</v>
      </c>
      <c r="B778" t="str">
        <f>"02406911202"</f>
        <v>02406911202</v>
      </c>
      <c r="C778" t="s">
        <v>13</v>
      </c>
      <c r="D778" t="s">
        <v>30</v>
      </c>
      <c r="E778" t="s">
        <v>932</v>
      </c>
      <c r="F778" t="s">
        <v>32</v>
      </c>
      <c r="AC778" t="s">
        <v>892</v>
      </c>
    </row>
    <row r="779" spans="1:29" ht="12.75">
      <c r="A779" t="str">
        <f>"678249431C"</f>
        <v>678249431C</v>
      </c>
      <c r="B779" t="str">
        <f>"02406911202"</f>
        <v>02406911202</v>
      </c>
      <c r="C779" t="s">
        <v>13</v>
      </c>
      <c r="D779" t="s">
        <v>30</v>
      </c>
      <c r="E779" t="s">
        <v>933</v>
      </c>
      <c r="F779" t="s">
        <v>32</v>
      </c>
      <c r="AC779" t="s">
        <v>892</v>
      </c>
    </row>
    <row r="780" spans="1:29" ht="12.75">
      <c r="A780" t="str">
        <f>"67824953EF"</f>
        <v>67824953EF</v>
      </c>
      <c r="B780" t="str">
        <f>"02406911202"</f>
        <v>02406911202</v>
      </c>
      <c r="C780" t="s">
        <v>13</v>
      </c>
      <c r="D780" t="s">
        <v>30</v>
      </c>
      <c r="E780" t="s">
        <v>934</v>
      </c>
      <c r="F780" t="s">
        <v>32</v>
      </c>
      <c r="AC780" t="s">
        <v>892</v>
      </c>
    </row>
    <row r="781" spans="1:29" ht="12.75">
      <c r="A781" t="str">
        <f>"6782498668"</f>
        <v>6782498668</v>
      </c>
      <c r="B781" t="str">
        <f>"02406911202"</f>
        <v>02406911202</v>
      </c>
      <c r="C781" t="s">
        <v>13</v>
      </c>
      <c r="D781" t="s">
        <v>30</v>
      </c>
      <c r="E781" t="s">
        <v>935</v>
      </c>
      <c r="F781" t="s">
        <v>32</v>
      </c>
      <c r="AC781" t="s">
        <v>892</v>
      </c>
    </row>
    <row r="782" spans="1:29" ht="12.75">
      <c r="A782" t="str">
        <f>"678250080E"</f>
        <v>678250080E</v>
      </c>
      <c r="B782" t="str">
        <f>"02406911202"</f>
        <v>02406911202</v>
      </c>
      <c r="C782" t="s">
        <v>13</v>
      </c>
      <c r="D782" t="s">
        <v>30</v>
      </c>
      <c r="E782" t="s">
        <v>936</v>
      </c>
      <c r="F782" t="s">
        <v>32</v>
      </c>
      <c r="AC782" t="s">
        <v>892</v>
      </c>
    </row>
    <row r="783" spans="1:29" ht="12.75">
      <c r="A783" t="str">
        <f>"6724632DDD"</f>
        <v>6724632DDD</v>
      </c>
      <c r="B783" t="str">
        <f>"02406911202"</f>
        <v>02406911202</v>
      </c>
      <c r="C783" t="s">
        <v>13</v>
      </c>
      <c r="D783" t="s">
        <v>30</v>
      </c>
      <c r="E783" t="s">
        <v>937</v>
      </c>
      <c r="F783" t="s">
        <v>408</v>
      </c>
      <c r="G783" t="str">
        <f>"02848620163"</f>
        <v>02848620163</v>
      </c>
      <c r="I783" t="s">
        <v>811</v>
      </c>
      <c r="L783" t="s">
        <v>34</v>
      </c>
      <c r="M783">
        <v>133342.2</v>
      </c>
      <c r="N783">
        <v>45000</v>
      </c>
      <c r="O783">
        <v>88342.2</v>
      </c>
      <c r="AA783" t="s">
        <v>938</v>
      </c>
      <c r="AB783" t="s">
        <v>180</v>
      </c>
      <c r="AC783" t="s">
        <v>320</v>
      </c>
    </row>
    <row r="784" spans="1:29" ht="12.75">
      <c r="A784" t="str">
        <f>"6724632DDD"</f>
        <v>6724632DDD</v>
      </c>
      <c r="B784" t="str">
        <f>"02406911202"</f>
        <v>02406911202</v>
      </c>
      <c r="C784" t="s">
        <v>13</v>
      </c>
      <c r="D784" t="s">
        <v>30</v>
      </c>
      <c r="E784" t="s">
        <v>937</v>
      </c>
      <c r="F784" t="s">
        <v>408</v>
      </c>
      <c r="G784" t="str">
        <f>"93027710016"</f>
        <v>93027710016</v>
      </c>
      <c r="I784" t="s">
        <v>265</v>
      </c>
      <c r="L784" t="s">
        <v>91</v>
      </c>
      <c r="AC784" t="s">
        <v>320</v>
      </c>
    </row>
    <row r="785" spans="1:29" ht="12.75">
      <c r="A785" t="str">
        <f>"6724632DDD"</f>
        <v>6724632DDD</v>
      </c>
      <c r="B785" t="str">
        <f>"02406911202"</f>
        <v>02406911202</v>
      </c>
      <c r="C785" t="s">
        <v>13</v>
      </c>
      <c r="D785" t="s">
        <v>30</v>
      </c>
      <c r="E785" t="s">
        <v>937</v>
      </c>
      <c r="F785" t="s">
        <v>408</v>
      </c>
      <c r="G785" t="str">
        <f>"00856750153"</f>
        <v>00856750153</v>
      </c>
      <c r="I785" t="s">
        <v>451</v>
      </c>
      <c r="L785" t="s">
        <v>91</v>
      </c>
      <c r="AC785" t="s">
        <v>320</v>
      </c>
    </row>
    <row r="786" spans="1:29" ht="12.75">
      <c r="A786" t="str">
        <f>"67902378D4"</f>
        <v>67902378D4</v>
      </c>
      <c r="B786" t="str">
        <f>"02406911202"</f>
        <v>02406911202</v>
      </c>
      <c r="C786" t="s">
        <v>13</v>
      </c>
      <c r="D786" t="s">
        <v>30</v>
      </c>
      <c r="E786" t="s">
        <v>939</v>
      </c>
      <c r="F786" t="s">
        <v>32</v>
      </c>
      <c r="G786" t="str">
        <f>"02006400960"</f>
        <v>02006400960</v>
      </c>
      <c r="I786" t="s">
        <v>940</v>
      </c>
      <c r="L786" t="s">
        <v>34</v>
      </c>
      <c r="M786">
        <v>70000</v>
      </c>
      <c r="O786">
        <v>70000</v>
      </c>
      <c r="AC786" t="s">
        <v>941</v>
      </c>
    </row>
    <row r="787" spans="1:29" ht="12.75">
      <c r="A787" t="str">
        <f>"6860857E4A"</f>
        <v>6860857E4A</v>
      </c>
      <c r="B787" t="str">
        <f>"02406911202"</f>
        <v>02406911202</v>
      </c>
      <c r="C787" t="s">
        <v>13</v>
      </c>
      <c r="D787" t="s">
        <v>30</v>
      </c>
      <c r="E787" t="s">
        <v>942</v>
      </c>
      <c r="F787" t="s">
        <v>46</v>
      </c>
      <c r="G787" t="str">
        <f>"93027710016"</f>
        <v>93027710016</v>
      </c>
      <c r="I787" t="s">
        <v>265</v>
      </c>
      <c r="L787" t="s">
        <v>34</v>
      </c>
      <c r="M787">
        <v>24500</v>
      </c>
      <c r="N787">
        <v>18500</v>
      </c>
      <c r="Q787">
        <v>6000</v>
      </c>
      <c r="AC787" t="s">
        <v>943</v>
      </c>
    </row>
    <row r="788" spans="1:29" ht="12.75">
      <c r="A788" t="str">
        <f>"6814515BAA"</f>
        <v>6814515BAA</v>
      </c>
      <c r="B788" t="str">
        <f>"02406911202"</f>
        <v>02406911202</v>
      </c>
      <c r="C788" t="s">
        <v>13</v>
      </c>
      <c r="D788" t="s">
        <v>30</v>
      </c>
      <c r="E788" t="s">
        <v>944</v>
      </c>
      <c r="F788" t="s">
        <v>32</v>
      </c>
      <c r="G788" t="str">
        <f>"03593680378"</f>
        <v>03593680378</v>
      </c>
      <c r="I788" t="s">
        <v>665</v>
      </c>
      <c r="L788" t="s">
        <v>34</v>
      </c>
      <c r="M788">
        <v>138869.4</v>
      </c>
      <c r="N788">
        <v>111647.4</v>
      </c>
      <c r="O788">
        <v>27222</v>
      </c>
      <c r="AC788" t="s">
        <v>945</v>
      </c>
    </row>
    <row r="789" spans="1:29" ht="12.75">
      <c r="A789" t="str">
        <f>"6814515BAA"</f>
        <v>6814515BAA</v>
      </c>
      <c r="B789" t="str">
        <f>"02406911202"</f>
        <v>02406911202</v>
      </c>
      <c r="C789" t="s">
        <v>13</v>
      </c>
      <c r="D789" t="s">
        <v>30</v>
      </c>
      <c r="E789" t="s">
        <v>944</v>
      </c>
      <c r="F789" t="s">
        <v>32</v>
      </c>
      <c r="G789" t="str">
        <f>"01355000132"</f>
        <v>01355000132</v>
      </c>
      <c r="I789" t="s">
        <v>946</v>
      </c>
      <c r="L789" t="s">
        <v>91</v>
      </c>
      <c r="AC789" t="s">
        <v>945</v>
      </c>
    </row>
    <row r="790" spans="1:29" ht="12.75">
      <c r="A790" t="str">
        <f>"6814515BAA"</f>
        <v>6814515BAA</v>
      </c>
      <c r="B790" t="str">
        <f>"02406911202"</f>
        <v>02406911202</v>
      </c>
      <c r="C790" t="s">
        <v>13</v>
      </c>
      <c r="D790" t="s">
        <v>30</v>
      </c>
      <c r="E790" t="s">
        <v>944</v>
      </c>
      <c r="F790" t="s">
        <v>32</v>
      </c>
      <c r="G790" t="str">
        <f>"01446670380"</f>
        <v>01446670380</v>
      </c>
      <c r="I790" t="s">
        <v>947</v>
      </c>
      <c r="L790" t="s">
        <v>91</v>
      </c>
      <c r="AC790" t="s">
        <v>945</v>
      </c>
    </row>
    <row r="791" spans="1:29" ht="12.75">
      <c r="A791" t="str">
        <f>"6814515BAA"</f>
        <v>6814515BAA</v>
      </c>
      <c r="B791" t="str">
        <f>"02406911202"</f>
        <v>02406911202</v>
      </c>
      <c r="C791" t="s">
        <v>13</v>
      </c>
      <c r="D791" t="s">
        <v>30</v>
      </c>
      <c r="E791" t="s">
        <v>944</v>
      </c>
      <c r="F791" t="s">
        <v>32</v>
      </c>
      <c r="G791" t="str">
        <f>"00136740404"</f>
        <v>00136740404</v>
      </c>
      <c r="I791" t="s">
        <v>132</v>
      </c>
      <c r="L791" t="s">
        <v>91</v>
      </c>
      <c r="AC791" t="s">
        <v>945</v>
      </c>
    </row>
    <row r="792" spans="1:29" ht="12.75">
      <c r="A792" t="str">
        <f>"6814515BAA"</f>
        <v>6814515BAA</v>
      </c>
      <c r="B792" t="str">
        <f>"02406911202"</f>
        <v>02406911202</v>
      </c>
      <c r="C792" t="s">
        <v>13</v>
      </c>
      <c r="D792" t="s">
        <v>30</v>
      </c>
      <c r="E792" t="s">
        <v>944</v>
      </c>
      <c r="F792" t="s">
        <v>32</v>
      </c>
      <c r="G792" t="str">
        <f>"01486330309"</f>
        <v>01486330309</v>
      </c>
      <c r="I792" t="s">
        <v>948</v>
      </c>
      <c r="L792" t="s">
        <v>91</v>
      </c>
      <c r="AC792" t="s">
        <v>945</v>
      </c>
    </row>
    <row r="793" spans="1:29" ht="12.75">
      <c r="A793" t="str">
        <f>"6814515BAA"</f>
        <v>6814515BAA</v>
      </c>
      <c r="B793" t="str">
        <f>"02406911202"</f>
        <v>02406911202</v>
      </c>
      <c r="C793" t="s">
        <v>13</v>
      </c>
      <c r="D793" t="s">
        <v>30</v>
      </c>
      <c r="E793" t="s">
        <v>944</v>
      </c>
      <c r="F793" t="s">
        <v>32</v>
      </c>
      <c r="G793" t="str">
        <f>"02376321200"</f>
        <v>02376321200</v>
      </c>
      <c r="I793" t="s">
        <v>949</v>
      </c>
      <c r="L793" t="s">
        <v>91</v>
      </c>
      <c r="AC793" t="s">
        <v>945</v>
      </c>
    </row>
    <row r="794" spans="1:29" ht="12.75">
      <c r="A794" t="str">
        <f>"6814515BAA"</f>
        <v>6814515BAA</v>
      </c>
      <c r="B794" t="str">
        <f>"02406911202"</f>
        <v>02406911202</v>
      </c>
      <c r="C794" t="s">
        <v>13</v>
      </c>
      <c r="D794" t="s">
        <v>30</v>
      </c>
      <c r="E794" t="s">
        <v>944</v>
      </c>
      <c r="F794" t="s">
        <v>32</v>
      </c>
      <c r="G794" t="str">
        <f>"01944260221"</f>
        <v>01944260221</v>
      </c>
      <c r="I794" t="s">
        <v>411</v>
      </c>
      <c r="L794" t="s">
        <v>91</v>
      </c>
      <c r="AC794" t="s">
        <v>945</v>
      </c>
    </row>
    <row r="795" spans="1:29" ht="12.75">
      <c r="A795" t="str">
        <f>"6814515BAA"</f>
        <v>6814515BAA</v>
      </c>
      <c r="B795" t="str">
        <f>"02406911202"</f>
        <v>02406911202</v>
      </c>
      <c r="C795" t="s">
        <v>13</v>
      </c>
      <c r="D795" t="s">
        <v>30</v>
      </c>
      <c r="E795" t="s">
        <v>944</v>
      </c>
      <c r="F795" t="s">
        <v>32</v>
      </c>
      <c r="G795" t="str">
        <f>"00740430335"</f>
        <v>00740430335</v>
      </c>
      <c r="I795" t="s">
        <v>950</v>
      </c>
      <c r="L795" t="s">
        <v>91</v>
      </c>
      <c r="AC795" t="s">
        <v>945</v>
      </c>
    </row>
    <row r="796" spans="1:29" ht="12.75">
      <c r="A796" t="str">
        <f>"6824060076"</f>
        <v>6824060076</v>
      </c>
      <c r="B796" t="str">
        <f>"02406911202"</f>
        <v>02406911202</v>
      </c>
      <c r="C796" t="s">
        <v>13</v>
      </c>
      <c r="D796" t="s">
        <v>30</v>
      </c>
      <c r="E796" t="s">
        <v>951</v>
      </c>
      <c r="F796" t="s">
        <v>32</v>
      </c>
      <c r="G796" t="str">
        <f>"03297470407"</f>
        <v>03297470407</v>
      </c>
      <c r="I796" t="s">
        <v>952</v>
      </c>
      <c r="L796" t="s">
        <v>34</v>
      </c>
      <c r="M796">
        <v>39884</v>
      </c>
      <c r="Q796">
        <v>39884</v>
      </c>
      <c r="AC796" t="s">
        <v>831</v>
      </c>
    </row>
    <row r="797" spans="1:29" ht="12.75">
      <c r="A797" t="str">
        <f>"684845108D"</f>
        <v>684845108D</v>
      </c>
      <c r="B797" t="str">
        <f>"02406911202"</f>
        <v>02406911202</v>
      </c>
      <c r="C797" t="s">
        <v>13</v>
      </c>
      <c r="D797" t="s">
        <v>30</v>
      </c>
      <c r="E797" t="s">
        <v>953</v>
      </c>
      <c r="F797" t="s">
        <v>32</v>
      </c>
      <c r="G797" t="str">
        <f>"10994940152"</f>
        <v>10994940152</v>
      </c>
      <c r="I797" t="s">
        <v>257</v>
      </c>
      <c r="L797" t="s">
        <v>34</v>
      </c>
      <c r="M797">
        <v>71681.7</v>
      </c>
      <c r="O797">
        <v>71681.7</v>
      </c>
      <c r="AA797" t="s">
        <v>954</v>
      </c>
      <c r="AB797" t="s">
        <v>180</v>
      </c>
      <c r="AC797" t="s">
        <v>892</v>
      </c>
    </row>
    <row r="798" spans="1:29" ht="12.75">
      <c r="A798" t="str">
        <f>"68633832D3"</f>
        <v>68633832D3</v>
      </c>
      <c r="B798" t="str">
        <f>"02406911202"</f>
        <v>02406911202</v>
      </c>
      <c r="C798" t="s">
        <v>13</v>
      </c>
      <c r="D798" t="s">
        <v>30</v>
      </c>
      <c r="E798" t="s">
        <v>955</v>
      </c>
      <c r="F798" t="s">
        <v>32</v>
      </c>
      <c r="G798" t="str">
        <f>"02835291200"</f>
        <v>02835291200</v>
      </c>
      <c r="I798" t="s">
        <v>956</v>
      </c>
      <c r="L798" t="s">
        <v>34</v>
      </c>
      <c r="M798">
        <v>81400</v>
      </c>
      <c r="O798">
        <v>81400</v>
      </c>
      <c r="AA798" t="s">
        <v>945</v>
      </c>
      <c r="AB798" t="s">
        <v>180</v>
      </c>
      <c r="AC798" t="s">
        <v>945</v>
      </c>
    </row>
    <row r="799" spans="1:29" ht="12.75">
      <c r="A799" t="str">
        <f>"687146939A"</f>
        <v>687146939A</v>
      </c>
      <c r="B799" t="str">
        <f>"02406911202"</f>
        <v>02406911202</v>
      </c>
      <c r="C799" t="s">
        <v>13</v>
      </c>
      <c r="D799" t="s">
        <v>30</v>
      </c>
      <c r="E799" t="s">
        <v>957</v>
      </c>
      <c r="F799" t="s">
        <v>32</v>
      </c>
      <c r="G799" t="str">
        <f>"00311250377"</f>
        <v>00311250377</v>
      </c>
      <c r="I799" t="s">
        <v>958</v>
      </c>
      <c r="L799" t="s">
        <v>34</v>
      </c>
      <c r="M799">
        <v>39687.5</v>
      </c>
      <c r="P799">
        <v>39687.5</v>
      </c>
      <c r="AC799" t="s">
        <v>959</v>
      </c>
    </row>
    <row r="800" spans="1:29" ht="12.75">
      <c r="A800" t="str">
        <f>"68720291BB"</f>
        <v>68720291BB</v>
      </c>
      <c r="B800" t="str">
        <f>"02406911202"</f>
        <v>02406911202</v>
      </c>
      <c r="C800" t="s">
        <v>13</v>
      </c>
      <c r="D800" t="s">
        <v>30</v>
      </c>
      <c r="E800" t="s">
        <v>960</v>
      </c>
      <c r="F800" t="s">
        <v>188</v>
      </c>
      <c r="AC800" t="s">
        <v>959</v>
      </c>
    </row>
    <row r="801" spans="1:29" ht="12.75">
      <c r="A801" t="str">
        <f>"67029812E8"</f>
        <v>67029812E8</v>
      </c>
      <c r="B801" t="str">
        <f>"02406911202"</f>
        <v>02406911202</v>
      </c>
      <c r="C801" t="s">
        <v>13</v>
      </c>
      <c r="D801" t="s">
        <v>30</v>
      </c>
      <c r="E801" t="s">
        <v>961</v>
      </c>
      <c r="F801" t="s">
        <v>32</v>
      </c>
      <c r="G801" t="str">
        <f>"01958520346"</f>
        <v>01958520346</v>
      </c>
      <c r="I801" t="s">
        <v>962</v>
      </c>
      <c r="L801" t="s">
        <v>34</v>
      </c>
      <c r="M801">
        <v>123040</v>
      </c>
      <c r="O801">
        <v>123040</v>
      </c>
      <c r="AA801" t="s">
        <v>963</v>
      </c>
      <c r="AB801" t="s">
        <v>964</v>
      </c>
      <c r="AC801" t="s">
        <v>126</v>
      </c>
    </row>
    <row r="802" spans="1:29" ht="12.75">
      <c r="A802" t="str">
        <f>"6880844C16"</f>
        <v>6880844C16</v>
      </c>
      <c r="B802" t="str">
        <f>"02406911202"</f>
        <v>02406911202</v>
      </c>
      <c r="C802" t="s">
        <v>13</v>
      </c>
      <c r="D802" t="s">
        <v>30</v>
      </c>
      <c r="E802" t="s">
        <v>965</v>
      </c>
      <c r="F802" t="s">
        <v>32</v>
      </c>
      <c r="G802" t="str">
        <f>"05994810488"</f>
        <v>05994810488</v>
      </c>
      <c r="I802" t="s">
        <v>653</v>
      </c>
      <c r="L802" t="s">
        <v>34</v>
      </c>
      <c r="M802">
        <v>46120</v>
      </c>
      <c r="O802">
        <v>46120</v>
      </c>
      <c r="AC802" t="s">
        <v>966</v>
      </c>
    </row>
    <row r="803" spans="1:29" ht="12.75">
      <c r="A803" t="str">
        <f>"6817468092"</f>
        <v>6817468092</v>
      </c>
      <c r="B803" t="str">
        <f>"02406911202"</f>
        <v>02406911202</v>
      </c>
      <c r="C803" t="s">
        <v>967</v>
      </c>
      <c r="D803" t="s">
        <v>30</v>
      </c>
      <c r="E803" t="s">
        <v>968</v>
      </c>
      <c r="F803" t="s">
        <v>32</v>
      </c>
      <c r="G803" t="str">
        <f>"02737030151"</f>
        <v>02737030151</v>
      </c>
      <c r="I803" t="s">
        <v>969</v>
      </c>
      <c r="L803" t="s">
        <v>34</v>
      </c>
      <c r="M803">
        <v>16000</v>
      </c>
      <c r="O803">
        <v>6000</v>
      </c>
      <c r="Q803">
        <v>10000</v>
      </c>
      <c r="AC803" t="s">
        <v>970</v>
      </c>
    </row>
    <row r="804" spans="1:29" ht="12.75">
      <c r="A804" t="str">
        <f>"6817468092"</f>
        <v>6817468092</v>
      </c>
      <c r="B804" t="str">
        <f>"02406911202"</f>
        <v>02406911202</v>
      </c>
      <c r="C804" t="s">
        <v>967</v>
      </c>
      <c r="D804" t="s">
        <v>30</v>
      </c>
      <c r="E804" t="s">
        <v>968</v>
      </c>
      <c r="F804" t="s">
        <v>32</v>
      </c>
      <c r="G804" t="str">
        <f>"05067060011"</f>
        <v>05067060011</v>
      </c>
      <c r="I804" t="s">
        <v>611</v>
      </c>
      <c r="L804" t="s">
        <v>91</v>
      </c>
      <c r="AC804" t="s">
        <v>970</v>
      </c>
    </row>
    <row r="805" spans="1:29" ht="12.75">
      <c r="A805" t="str">
        <f>"6817468092"</f>
        <v>6817468092</v>
      </c>
      <c r="B805" t="str">
        <f>"02406911202"</f>
        <v>02406911202</v>
      </c>
      <c r="C805" t="s">
        <v>967</v>
      </c>
      <c r="D805" t="s">
        <v>30</v>
      </c>
      <c r="E805" t="s">
        <v>968</v>
      </c>
      <c r="F805" t="s">
        <v>32</v>
      </c>
      <c r="G805" t="str">
        <f>"04015790407"</f>
        <v>04015790407</v>
      </c>
      <c r="I805" t="s">
        <v>971</v>
      </c>
      <c r="L805" t="s">
        <v>91</v>
      </c>
      <c r="AC805" t="s">
        <v>970</v>
      </c>
    </row>
    <row r="806" spans="1:29" ht="12.75">
      <c r="A806" t="str">
        <f>"6817468092"</f>
        <v>6817468092</v>
      </c>
      <c r="B806" t="str">
        <f>"02406911202"</f>
        <v>02406911202</v>
      </c>
      <c r="C806" t="s">
        <v>967</v>
      </c>
      <c r="D806" t="s">
        <v>30</v>
      </c>
      <c r="E806" t="s">
        <v>968</v>
      </c>
      <c r="F806" t="s">
        <v>32</v>
      </c>
      <c r="G806" t="str">
        <f>"02848620163"</f>
        <v>02848620163</v>
      </c>
      <c r="I806" t="s">
        <v>811</v>
      </c>
      <c r="L806" t="s">
        <v>91</v>
      </c>
      <c r="AC806" t="s">
        <v>970</v>
      </c>
    </row>
    <row r="807" spans="1:29" ht="12.75">
      <c r="A807" t="str">
        <f>"6817468092"</f>
        <v>6817468092</v>
      </c>
      <c r="B807" t="str">
        <f>"02406911202"</f>
        <v>02406911202</v>
      </c>
      <c r="C807" t="s">
        <v>967</v>
      </c>
      <c r="D807" t="s">
        <v>30</v>
      </c>
      <c r="E807" t="s">
        <v>968</v>
      </c>
      <c r="F807" t="s">
        <v>32</v>
      </c>
      <c r="G807" t="str">
        <f>"10127601002"</f>
        <v>10127601002</v>
      </c>
      <c r="I807" t="s">
        <v>819</v>
      </c>
      <c r="L807" t="s">
        <v>91</v>
      </c>
      <c r="AC807" t="s">
        <v>970</v>
      </c>
    </row>
    <row r="808" spans="1:29" ht="12.75">
      <c r="A808" t="str">
        <f>"677785708A"</f>
        <v>677785708A</v>
      </c>
      <c r="B808" t="str">
        <f>"02406911202"</f>
        <v>02406911202</v>
      </c>
      <c r="C808" t="s">
        <v>13</v>
      </c>
      <c r="D808" t="s">
        <v>30</v>
      </c>
      <c r="E808" t="s">
        <v>972</v>
      </c>
      <c r="F808" t="s">
        <v>46</v>
      </c>
      <c r="G808" t="str">
        <f>"04941160964"</f>
        <v>04941160964</v>
      </c>
      <c r="I808" t="s">
        <v>973</v>
      </c>
      <c r="L808" t="s">
        <v>34</v>
      </c>
      <c r="M808">
        <v>40430</v>
      </c>
      <c r="N808">
        <v>0</v>
      </c>
      <c r="O808">
        <v>39750</v>
      </c>
      <c r="S808">
        <v>680</v>
      </c>
      <c r="AC808" t="s">
        <v>709</v>
      </c>
    </row>
    <row r="809" spans="1:29" ht="12.75">
      <c r="A809" t="str">
        <f>"6777859230"</f>
        <v>6777859230</v>
      </c>
      <c r="B809" t="str">
        <f>"02406911202"</f>
        <v>02406911202</v>
      </c>
      <c r="C809" t="s">
        <v>13</v>
      </c>
      <c r="D809" t="s">
        <v>30</v>
      </c>
      <c r="E809" t="s">
        <v>974</v>
      </c>
      <c r="F809" t="s">
        <v>46</v>
      </c>
      <c r="G809" t="str">
        <f>"12926600151"</f>
        <v>12926600151</v>
      </c>
      <c r="I809" t="s">
        <v>975</v>
      </c>
      <c r="L809" t="s">
        <v>34</v>
      </c>
      <c r="M809">
        <v>43108</v>
      </c>
      <c r="N809">
        <v>26916</v>
      </c>
      <c r="O809">
        <v>0</v>
      </c>
      <c r="S809">
        <v>16192</v>
      </c>
      <c r="AC809" t="s">
        <v>976</v>
      </c>
    </row>
    <row r="810" spans="1:29" ht="12.75">
      <c r="A810" t="str">
        <f>"677786357C"</f>
        <v>677786357C</v>
      </c>
      <c r="B810" t="str">
        <f>"02406911202"</f>
        <v>02406911202</v>
      </c>
      <c r="C810" t="s">
        <v>13</v>
      </c>
      <c r="D810" t="s">
        <v>30</v>
      </c>
      <c r="E810" t="s">
        <v>977</v>
      </c>
      <c r="F810" t="s">
        <v>46</v>
      </c>
      <c r="G810" t="str">
        <f>"02723670960"</f>
        <v>02723670960</v>
      </c>
      <c r="I810" t="s">
        <v>978</v>
      </c>
      <c r="L810" t="s">
        <v>91</v>
      </c>
      <c r="AC810" t="s">
        <v>976</v>
      </c>
    </row>
    <row r="811" spans="1:29" ht="12.75">
      <c r="A811" t="str">
        <f>"6777870B41"</f>
        <v>6777870B41</v>
      </c>
      <c r="B811" t="str">
        <f>"02406911202"</f>
        <v>02406911202</v>
      </c>
      <c r="C811" t="s">
        <v>13</v>
      </c>
      <c r="D811" t="s">
        <v>30</v>
      </c>
      <c r="E811" t="s">
        <v>979</v>
      </c>
      <c r="F811" t="s">
        <v>46</v>
      </c>
      <c r="G811" t="str">
        <f>"09028220151"</f>
        <v>09028220151</v>
      </c>
      <c r="I811" t="s">
        <v>980</v>
      </c>
      <c r="L811" t="s">
        <v>34</v>
      </c>
      <c r="M811">
        <v>24740</v>
      </c>
      <c r="N811">
        <v>0</v>
      </c>
      <c r="O811">
        <v>24740</v>
      </c>
      <c r="S811">
        <v>0</v>
      </c>
      <c r="AC811" t="s">
        <v>976</v>
      </c>
    </row>
    <row r="812" spans="1:29" ht="12.75">
      <c r="A812" t="str">
        <f>"6777873DBA"</f>
        <v>6777873DBA</v>
      </c>
      <c r="B812" t="str">
        <f>"02406911202"</f>
        <v>02406911202</v>
      </c>
      <c r="C812" t="s">
        <v>13</v>
      </c>
      <c r="D812" t="s">
        <v>30</v>
      </c>
      <c r="E812" t="s">
        <v>981</v>
      </c>
      <c r="F812" t="s">
        <v>46</v>
      </c>
      <c r="G812" t="str">
        <f>"01778520302"</f>
        <v>01778520302</v>
      </c>
      <c r="I812" t="s">
        <v>982</v>
      </c>
      <c r="L812" t="s">
        <v>34</v>
      </c>
      <c r="M812">
        <v>535619.58</v>
      </c>
      <c r="N812">
        <v>218401.5</v>
      </c>
      <c r="O812">
        <v>148530</v>
      </c>
      <c r="S812">
        <v>168688.08</v>
      </c>
      <c r="AC812" t="s">
        <v>976</v>
      </c>
    </row>
    <row r="813" spans="1:29" ht="12.75">
      <c r="A813" t="str">
        <f>"67778781DE"</f>
        <v>67778781DE</v>
      </c>
      <c r="B813" t="str">
        <f>"02406911202"</f>
        <v>02406911202</v>
      </c>
      <c r="C813" t="s">
        <v>13</v>
      </c>
      <c r="D813" t="s">
        <v>30</v>
      </c>
      <c r="E813" t="s">
        <v>983</v>
      </c>
      <c r="F813" t="s">
        <v>46</v>
      </c>
      <c r="G813" t="str">
        <f>"13342400150"</f>
        <v>13342400150</v>
      </c>
      <c r="I813" t="s">
        <v>984</v>
      </c>
      <c r="L813" t="s">
        <v>91</v>
      </c>
      <c r="AC813" t="s">
        <v>976</v>
      </c>
    </row>
    <row r="814" spans="1:29" ht="12.75">
      <c r="A814" t="str">
        <f>"67788557A3"</f>
        <v>67788557A3</v>
      </c>
      <c r="B814" t="str">
        <f>"02406911202"</f>
        <v>02406911202</v>
      </c>
      <c r="C814" t="s">
        <v>13</v>
      </c>
      <c r="D814" t="s">
        <v>30</v>
      </c>
      <c r="E814" t="s">
        <v>985</v>
      </c>
      <c r="F814" t="s">
        <v>46</v>
      </c>
      <c r="G814" t="str">
        <f>"08945650961"</f>
        <v>08945650961</v>
      </c>
      <c r="I814" t="s">
        <v>986</v>
      </c>
      <c r="L814" t="s">
        <v>34</v>
      </c>
      <c r="M814">
        <v>17641.64</v>
      </c>
      <c r="N814">
        <v>8260</v>
      </c>
      <c r="O814">
        <v>5500</v>
      </c>
      <c r="S814">
        <v>3881.64</v>
      </c>
      <c r="AC814" t="s">
        <v>976</v>
      </c>
    </row>
    <row r="815" spans="1:29" ht="12.75">
      <c r="A815" t="str">
        <f>"6777890BC2"</f>
        <v>6777890BC2</v>
      </c>
      <c r="B815" t="str">
        <f>"02406911202"</f>
        <v>02406911202</v>
      </c>
      <c r="C815" t="s">
        <v>13</v>
      </c>
      <c r="D815" t="s">
        <v>30</v>
      </c>
      <c r="E815" t="s">
        <v>987</v>
      </c>
      <c r="F815" t="s">
        <v>46</v>
      </c>
      <c r="G815" t="str">
        <f>"02079181208"</f>
        <v>02079181208</v>
      </c>
      <c r="I815" t="s">
        <v>629</v>
      </c>
      <c r="L815" t="s">
        <v>34</v>
      </c>
      <c r="M815">
        <v>277190</v>
      </c>
      <c r="O815">
        <v>104790</v>
      </c>
      <c r="R815">
        <v>172400</v>
      </c>
      <c r="AC815" t="s">
        <v>988</v>
      </c>
    </row>
    <row r="816" spans="1:29" ht="12.75">
      <c r="A816" t="str">
        <f>"6777895FE1"</f>
        <v>6777895FE1</v>
      </c>
      <c r="B816" t="str">
        <f>"02406911202"</f>
        <v>02406911202</v>
      </c>
      <c r="C816" t="s">
        <v>13</v>
      </c>
      <c r="D816" t="s">
        <v>30</v>
      </c>
      <c r="E816" t="s">
        <v>989</v>
      </c>
      <c r="F816" t="s">
        <v>46</v>
      </c>
      <c r="G816" t="str">
        <f>"01989580061"</f>
        <v>01989580061</v>
      </c>
      <c r="I816" t="s">
        <v>990</v>
      </c>
      <c r="L816" t="s">
        <v>34</v>
      </c>
      <c r="M816">
        <v>8720</v>
      </c>
      <c r="O816">
        <v>8720</v>
      </c>
      <c r="AC816" t="s">
        <v>976</v>
      </c>
    </row>
    <row r="817" spans="1:29" ht="12.75">
      <c r="A817" t="str">
        <f>"6777940507"</f>
        <v>6777940507</v>
      </c>
      <c r="B817" t="str">
        <f>"02406911202"</f>
        <v>02406911202</v>
      </c>
      <c r="C817" t="s">
        <v>13</v>
      </c>
      <c r="D817" t="s">
        <v>30</v>
      </c>
      <c r="E817" t="s">
        <v>991</v>
      </c>
      <c r="F817" t="s">
        <v>78</v>
      </c>
      <c r="G817" t="str">
        <f>"12926600151"</f>
        <v>12926600151</v>
      </c>
      <c r="I817" t="s">
        <v>975</v>
      </c>
      <c r="L817" t="s">
        <v>34</v>
      </c>
      <c r="M817">
        <v>26916</v>
      </c>
      <c r="AA817" t="s">
        <v>709</v>
      </c>
      <c r="AB817" t="s">
        <v>992</v>
      </c>
      <c r="AC817" t="s">
        <v>976</v>
      </c>
    </row>
    <row r="818" spans="1:29" ht="12.75">
      <c r="A818" t="str">
        <f>"6777953FBE"</f>
        <v>6777953FBE</v>
      </c>
      <c r="B818" t="str">
        <f>"02406911202"</f>
        <v>02406911202</v>
      </c>
      <c r="C818" t="s">
        <v>13</v>
      </c>
      <c r="D818" t="s">
        <v>30</v>
      </c>
      <c r="E818" t="s">
        <v>993</v>
      </c>
      <c r="F818" t="s">
        <v>78</v>
      </c>
      <c r="G818" t="str">
        <f>"01778520302"</f>
        <v>01778520302</v>
      </c>
      <c r="I818" t="s">
        <v>982</v>
      </c>
      <c r="L818" t="s">
        <v>34</v>
      </c>
      <c r="M818">
        <v>218401.5</v>
      </c>
      <c r="Z818">
        <v>48162.39</v>
      </c>
      <c r="AA818" t="s">
        <v>709</v>
      </c>
      <c r="AB818" t="s">
        <v>992</v>
      </c>
      <c r="AC818" t="s">
        <v>976</v>
      </c>
    </row>
    <row r="819" spans="1:29" ht="12.75">
      <c r="A819" t="str">
        <f>"6777968C20"</f>
        <v>6777968C20</v>
      </c>
      <c r="B819" t="str">
        <f>"02406911202"</f>
        <v>02406911202</v>
      </c>
      <c r="C819" t="s">
        <v>13</v>
      </c>
      <c r="D819" t="s">
        <v>30</v>
      </c>
      <c r="E819" t="s">
        <v>994</v>
      </c>
      <c r="F819" t="s">
        <v>78</v>
      </c>
      <c r="G819" t="str">
        <f>"13342400150"</f>
        <v>13342400150</v>
      </c>
      <c r="I819" t="s">
        <v>984</v>
      </c>
      <c r="L819" t="s">
        <v>34</v>
      </c>
      <c r="M819">
        <v>3505</v>
      </c>
      <c r="AA819" t="s">
        <v>709</v>
      </c>
      <c r="AB819" t="s">
        <v>992</v>
      </c>
      <c r="AC819" t="s">
        <v>976</v>
      </c>
    </row>
    <row r="820" spans="1:29" ht="12.75">
      <c r="A820" t="str">
        <f>"6777991F1A"</f>
        <v>6777991F1A</v>
      </c>
      <c r="B820" t="str">
        <f>"02406911202"</f>
        <v>02406911202</v>
      </c>
      <c r="C820" t="s">
        <v>13</v>
      </c>
      <c r="D820" t="s">
        <v>30</v>
      </c>
      <c r="E820" t="s">
        <v>995</v>
      </c>
      <c r="F820" t="s">
        <v>78</v>
      </c>
      <c r="G820" t="str">
        <f>"08945650961"</f>
        <v>08945650961</v>
      </c>
      <c r="I820" t="s">
        <v>986</v>
      </c>
      <c r="L820" t="s">
        <v>34</v>
      </c>
      <c r="M820">
        <v>8260</v>
      </c>
      <c r="Z820">
        <v>2681</v>
      </c>
      <c r="AA820" t="s">
        <v>709</v>
      </c>
      <c r="AB820" t="s">
        <v>992</v>
      </c>
      <c r="AC820" t="s">
        <v>709</v>
      </c>
    </row>
    <row r="821" spans="1:29" ht="12.75">
      <c r="A821" t="str">
        <f>"6741480D46"</f>
        <v>6741480D46</v>
      </c>
      <c r="B821" t="str">
        <f>"02406911202"</f>
        <v>02406911202</v>
      </c>
      <c r="C821" t="s">
        <v>13</v>
      </c>
      <c r="D821" t="s">
        <v>30</v>
      </c>
      <c r="E821" t="s">
        <v>996</v>
      </c>
      <c r="F821" t="s">
        <v>32</v>
      </c>
      <c r="G821" t="str">
        <f>"06068041000"</f>
        <v>06068041000</v>
      </c>
      <c r="I821" t="s">
        <v>295</v>
      </c>
      <c r="L821" t="s">
        <v>34</v>
      </c>
      <c r="M821">
        <v>23124</v>
      </c>
      <c r="N821">
        <v>20664</v>
      </c>
      <c r="O821">
        <v>2460</v>
      </c>
      <c r="AC821" t="s">
        <v>287</v>
      </c>
    </row>
    <row r="822" spans="1:29" ht="12.75">
      <c r="A822" t="str">
        <f>"6804171389"</f>
        <v>6804171389</v>
      </c>
      <c r="B822" t="str">
        <f>"02406911202"</f>
        <v>02406911202</v>
      </c>
      <c r="C822" t="s">
        <v>13</v>
      </c>
      <c r="D822" t="s">
        <v>30</v>
      </c>
      <c r="E822" t="s">
        <v>997</v>
      </c>
      <c r="F822" t="s">
        <v>78</v>
      </c>
      <c r="G822" t="str">
        <f>"06068041000"</f>
        <v>06068041000</v>
      </c>
      <c r="I822" t="s">
        <v>295</v>
      </c>
      <c r="L822" t="s">
        <v>34</v>
      </c>
      <c r="M822">
        <v>20664</v>
      </c>
      <c r="Z822">
        <v>2706</v>
      </c>
      <c r="AA822" t="s">
        <v>963</v>
      </c>
      <c r="AB822" t="s">
        <v>964</v>
      </c>
      <c r="AC822" t="s">
        <v>287</v>
      </c>
    </row>
    <row r="823" spans="1:29" ht="12.75">
      <c r="A823" t="str">
        <f>"6742994EAA"</f>
        <v>6742994EAA</v>
      </c>
      <c r="B823" t="str">
        <f>"02406911202"</f>
        <v>02406911202</v>
      </c>
      <c r="C823" t="s">
        <v>13</v>
      </c>
      <c r="D823" t="s">
        <v>30</v>
      </c>
      <c r="E823" t="s">
        <v>998</v>
      </c>
      <c r="F823" t="s">
        <v>32</v>
      </c>
      <c r="G823" t="str">
        <f>"06068041000"</f>
        <v>06068041000</v>
      </c>
      <c r="I823" t="s">
        <v>295</v>
      </c>
      <c r="L823" t="s">
        <v>34</v>
      </c>
      <c r="M823">
        <v>59415</v>
      </c>
      <c r="N823">
        <v>18895</v>
      </c>
      <c r="O823">
        <v>37500</v>
      </c>
      <c r="P823">
        <v>3020</v>
      </c>
      <c r="AC823" t="s">
        <v>290</v>
      </c>
    </row>
    <row r="824" spans="1:29" ht="12.75">
      <c r="A824" t="str">
        <f>"67430458C2"</f>
        <v>67430458C2</v>
      </c>
      <c r="B824" t="str">
        <f>"02406911202"</f>
        <v>02406911202</v>
      </c>
      <c r="C824" t="s">
        <v>13</v>
      </c>
      <c r="D824" t="s">
        <v>30</v>
      </c>
      <c r="E824" t="s">
        <v>999</v>
      </c>
      <c r="F824" t="s">
        <v>78</v>
      </c>
      <c r="G824" t="str">
        <f>"06068041000"</f>
        <v>06068041000</v>
      </c>
      <c r="I824" t="s">
        <v>295</v>
      </c>
      <c r="L824" t="s">
        <v>34</v>
      </c>
      <c r="M824">
        <v>18895</v>
      </c>
      <c r="Z824">
        <v>9276</v>
      </c>
      <c r="AA824" t="s">
        <v>290</v>
      </c>
      <c r="AB824" t="s">
        <v>180</v>
      </c>
      <c r="AC824" t="s">
        <v>290</v>
      </c>
    </row>
    <row r="825" spans="1:29" ht="12.75">
      <c r="A825" t="str">
        <f>"67726653F6"</f>
        <v>67726653F6</v>
      </c>
      <c r="B825" t="str">
        <f>"02406911202"</f>
        <v>02406911202</v>
      </c>
      <c r="C825" t="s">
        <v>13</v>
      </c>
      <c r="D825" t="s">
        <v>30</v>
      </c>
      <c r="E825" t="s">
        <v>1000</v>
      </c>
      <c r="F825" t="s">
        <v>32</v>
      </c>
      <c r="G825" t="str">
        <f>"03692250966"</f>
        <v>03692250966</v>
      </c>
      <c r="I825" t="s">
        <v>1001</v>
      </c>
      <c r="L825" t="s">
        <v>34</v>
      </c>
      <c r="M825">
        <v>474400</v>
      </c>
      <c r="AC825" t="s">
        <v>1002</v>
      </c>
    </row>
    <row r="826" spans="1:29" ht="12.75">
      <c r="A826" t="str">
        <f>"6856434C51"</f>
        <v>6856434C51</v>
      </c>
      <c r="B826" t="str">
        <f>"02406911202"</f>
        <v>02406911202</v>
      </c>
      <c r="C826" t="s">
        <v>13</v>
      </c>
      <c r="D826" t="s">
        <v>30</v>
      </c>
      <c r="E826" t="s">
        <v>1003</v>
      </c>
      <c r="F826" t="s">
        <v>46</v>
      </c>
      <c r="M826">
        <v>2006000</v>
      </c>
      <c r="AA826" t="s">
        <v>1004</v>
      </c>
      <c r="AB826" t="s">
        <v>1005</v>
      </c>
      <c r="AC826" t="s">
        <v>927</v>
      </c>
    </row>
    <row r="827" spans="1:29" ht="12.75">
      <c r="A827" t="str">
        <f>"6735649165"</f>
        <v>6735649165</v>
      </c>
      <c r="B827" t="str">
        <f>"02406911202"</f>
        <v>02406911202</v>
      </c>
      <c r="C827" t="s">
        <v>13</v>
      </c>
      <c r="D827" t="s">
        <v>30</v>
      </c>
      <c r="E827" t="s">
        <v>1006</v>
      </c>
      <c r="F827" t="s">
        <v>32</v>
      </c>
      <c r="H827" t="str">
        <f>"BE0536463943"</f>
        <v>BE0536463943</v>
      </c>
      <c r="I827" t="s">
        <v>364</v>
      </c>
      <c r="L827" t="s">
        <v>34</v>
      </c>
      <c r="M827">
        <v>60000</v>
      </c>
      <c r="O827">
        <v>60000</v>
      </c>
      <c r="AC827" t="s">
        <v>1007</v>
      </c>
    </row>
    <row r="828" spans="1:29" ht="12.75">
      <c r="A828" t="str">
        <f>"673565672A"</f>
        <v>673565672A</v>
      </c>
      <c r="B828" t="str">
        <f>"02406911202"</f>
        <v>02406911202</v>
      </c>
      <c r="C828" t="s">
        <v>13</v>
      </c>
      <c r="D828" t="s">
        <v>30</v>
      </c>
      <c r="E828" t="s">
        <v>1008</v>
      </c>
      <c r="F828" t="s">
        <v>32</v>
      </c>
      <c r="H828" t="str">
        <f>"DE813917917"</f>
        <v>DE813917917</v>
      </c>
      <c r="I828" t="s">
        <v>365</v>
      </c>
      <c r="L828" t="s">
        <v>34</v>
      </c>
      <c r="M828">
        <v>70000</v>
      </c>
      <c r="O828">
        <v>70000</v>
      </c>
      <c r="AC828" t="s">
        <v>1007</v>
      </c>
    </row>
    <row r="829" spans="1:29" ht="12.75">
      <c r="A829" t="str">
        <f>"6873790EF0"</f>
        <v>6873790EF0</v>
      </c>
      <c r="B829" t="str">
        <f>"02406911202"</f>
        <v>02406911202</v>
      </c>
      <c r="C829" t="s">
        <v>13</v>
      </c>
      <c r="D829" t="s">
        <v>30</v>
      </c>
      <c r="E829" t="s">
        <v>1009</v>
      </c>
      <c r="F829" t="s">
        <v>32</v>
      </c>
      <c r="G829" t="str">
        <f>"09050810960"</f>
        <v>09050810960</v>
      </c>
      <c r="I829" t="s">
        <v>623</v>
      </c>
      <c r="L829" t="s">
        <v>34</v>
      </c>
      <c r="M829">
        <v>54683.21</v>
      </c>
      <c r="N829">
        <v>26127.2</v>
      </c>
      <c r="O829">
        <v>19386.4</v>
      </c>
      <c r="Q829">
        <v>9169.61</v>
      </c>
      <c r="AC829" t="s">
        <v>1010</v>
      </c>
    </row>
    <row r="830" spans="1:29" ht="12.75">
      <c r="A830" t="str">
        <f>"6873821887"</f>
        <v>6873821887</v>
      </c>
      <c r="B830" t="str">
        <f>"02406911202"</f>
        <v>02406911202</v>
      </c>
      <c r="C830" t="s">
        <v>13</v>
      </c>
      <c r="D830" t="s">
        <v>30</v>
      </c>
      <c r="E830" t="s">
        <v>1011</v>
      </c>
      <c r="F830" t="s">
        <v>32</v>
      </c>
      <c r="G830" t="str">
        <f>"05688870483"</f>
        <v>05688870483</v>
      </c>
      <c r="I830" t="s">
        <v>96</v>
      </c>
      <c r="L830" t="s">
        <v>34</v>
      </c>
      <c r="M830">
        <v>212421.04</v>
      </c>
      <c r="N830">
        <v>137070</v>
      </c>
      <c r="O830">
        <v>51408.94</v>
      </c>
      <c r="Q830">
        <v>23942.1</v>
      </c>
      <c r="AC830" t="s">
        <v>1010</v>
      </c>
    </row>
    <row r="831" spans="1:29" ht="12.75">
      <c r="A831" t="str">
        <f>"687381211C"</f>
        <v>687381211C</v>
      </c>
      <c r="B831" t="str">
        <f>"02406911202"</f>
        <v>02406911202</v>
      </c>
      <c r="C831" t="s">
        <v>13</v>
      </c>
      <c r="D831" t="s">
        <v>30</v>
      </c>
      <c r="E831" t="s">
        <v>1011</v>
      </c>
      <c r="F831" t="s">
        <v>32</v>
      </c>
      <c r="G831" t="str">
        <f>"00803890151"</f>
        <v>00803890151</v>
      </c>
      <c r="I831" t="s">
        <v>273</v>
      </c>
      <c r="L831" t="s">
        <v>34</v>
      </c>
      <c r="M831">
        <v>20922.29</v>
      </c>
      <c r="N831">
        <v>9210.49</v>
      </c>
      <c r="O831">
        <v>10309</v>
      </c>
      <c r="Q831">
        <v>1402.8</v>
      </c>
      <c r="AC831" t="s">
        <v>1010</v>
      </c>
    </row>
    <row r="832" spans="1:29" ht="12.75">
      <c r="A832" t="str">
        <f>"6826267DB8"</f>
        <v>6826267DB8</v>
      </c>
      <c r="B832" t="str">
        <f>"02406911202"</f>
        <v>02406911202</v>
      </c>
      <c r="C832" t="s">
        <v>13</v>
      </c>
      <c r="D832" t="s">
        <v>30</v>
      </c>
      <c r="E832" t="s">
        <v>1012</v>
      </c>
      <c r="F832" t="s">
        <v>32</v>
      </c>
      <c r="G832" t="str">
        <f>"12693140159"</f>
        <v>12693140159</v>
      </c>
      <c r="I832" t="s">
        <v>778</v>
      </c>
      <c r="L832" t="s">
        <v>34</v>
      </c>
      <c r="M832">
        <v>275080</v>
      </c>
      <c r="N832">
        <v>119080</v>
      </c>
      <c r="O832">
        <v>156000</v>
      </c>
      <c r="AA832" t="s">
        <v>816</v>
      </c>
      <c r="AB832" t="s">
        <v>1013</v>
      </c>
      <c r="AC832" t="s">
        <v>1014</v>
      </c>
    </row>
    <row r="833" spans="1:29" ht="12.75">
      <c r="A833" t="str">
        <f>"688290728A"</f>
        <v>688290728A</v>
      </c>
      <c r="B833" t="str">
        <f>"02406911202"</f>
        <v>02406911202</v>
      </c>
      <c r="C833" t="s">
        <v>13</v>
      </c>
      <c r="D833" t="s">
        <v>30</v>
      </c>
      <c r="E833" t="s">
        <v>1015</v>
      </c>
      <c r="F833" t="s">
        <v>32</v>
      </c>
      <c r="G833" t="str">
        <f>"12792100153"</f>
        <v>12792100153</v>
      </c>
      <c r="I833" t="s">
        <v>621</v>
      </c>
      <c r="L833" t="s">
        <v>34</v>
      </c>
      <c r="M833">
        <v>24599.67</v>
      </c>
      <c r="O833">
        <v>24599.67</v>
      </c>
      <c r="AC833" t="s">
        <v>1016</v>
      </c>
    </row>
    <row r="834" spans="1:29" ht="12.75">
      <c r="A834" t="str">
        <f>"684855458B"</f>
        <v>684855458B</v>
      </c>
      <c r="B834" t="str">
        <f>"02406911202"</f>
        <v>02406911202</v>
      </c>
      <c r="C834" t="s">
        <v>13</v>
      </c>
      <c r="D834" t="s">
        <v>30</v>
      </c>
      <c r="E834" t="s">
        <v>1017</v>
      </c>
      <c r="F834" t="s">
        <v>46</v>
      </c>
      <c r="G834" t="str">
        <f>"03365730260"</f>
        <v>03365730260</v>
      </c>
      <c r="I834" t="s">
        <v>1018</v>
      </c>
      <c r="L834" t="s">
        <v>91</v>
      </c>
      <c r="AC834" t="s">
        <v>1014</v>
      </c>
    </row>
    <row r="835" spans="1:29" ht="12.75">
      <c r="A835" t="str">
        <f>"6848565E9C"</f>
        <v>6848565E9C</v>
      </c>
      <c r="B835" t="str">
        <f>"02406911202"</f>
        <v>02406911202</v>
      </c>
      <c r="C835" t="s">
        <v>13</v>
      </c>
      <c r="D835" t="s">
        <v>30</v>
      </c>
      <c r="E835" t="s">
        <v>1019</v>
      </c>
      <c r="F835" t="s">
        <v>46</v>
      </c>
      <c r="G835" t="str">
        <f>"09301330966"</f>
        <v>09301330966</v>
      </c>
      <c r="I835" t="s">
        <v>1020</v>
      </c>
      <c r="L835" t="s">
        <v>34</v>
      </c>
      <c r="M835">
        <v>145000</v>
      </c>
      <c r="N835">
        <v>40000</v>
      </c>
      <c r="P835">
        <v>45000</v>
      </c>
      <c r="Q835">
        <v>14500</v>
      </c>
      <c r="R835">
        <v>19500</v>
      </c>
      <c r="S835">
        <v>26000</v>
      </c>
      <c r="AC835" t="s">
        <v>1014</v>
      </c>
    </row>
    <row r="836" spans="1:29" ht="12.75">
      <c r="A836" t="str">
        <f>"68485702C0"</f>
        <v>68485702C0</v>
      </c>
      <c r="B836" t="str">
        <f>"02406911202"</f>
        <v>02406911202</v>
      </c>
      <c r="C836" t="s">
        <v>13</v>
      </c>
      <c r="D836" t="s">
        <v>30</v>
      </c>
      <c r="E836" t="s">
        <v>1019</v>
      </c>
      <c r="F836" t="s">
        <v>46</v>
      </c>
      <c r="G836" t="str">
        <f>"00574250379"</f>
        <v>00574250379</v>
      </c>
      <c r="I836" t="s">
        <v>696</v>
      </c>
      <c r="L836" t="s">
        <v>34</v>
      </c>
      <c r="M836">
        <v>265000</v>
      </c>
      <c r="N836">
        <v>92000</v>
      </c>
      <c r="O836">
        <v>28000</v>
      </c>
      <c r="P836">
        <v>79000</v>
      </c>
      <c r="Q836">
        <v>42000</v>
      </c>
      <c r="R836">
        <v>24000</v>
      </c>
      <c r="AC836" t="s">
        <v>1014</v>
      </c>
    </row>
    <row r="837" spans="1:29" ht="12.75">
      <c r="A837" t="str">
        <f>"68485756DF"</f>
        <v>68485756DF</v>
      </c>
      <c r="B837" t="str">
        <f>"02406911202"</f>
        <v>02406911202</v>
      </c>
      <c r="C837" t="s">
        <v>13</v>
      </c>
      <c r="D837" t="s">
        <v>30</v>
      </c>
      <c r="E837" t="s">
        <v>1019</v>
      </c>
      <c r="F837" t="s">
        <v>46</v>
      </c>
      <c r="G837" t="str">
        <f>"12512890158"</f>
        <v>12512890158</v>
      </c>
      <c r="I837" t="s">
        <v>1021</v>
      </c>
      <c r="L837" t="s">
        <v>34</v>
      </c>
      <c r="M837">
        <v>116000</v>
      </c>
      <c r="N837">
        <v>5000</v>
      </c>
      <c r="P837">
        <v>100000</v>
      </c>
      <c r="R837">
        <v>11000</v>
      </c>
      <c r="AC837" t="s">
        <v>1014</v>
      </c>
    </row>
    <row r="838" spans="1:29" ht="12.75">
      <c r="A838" t="str">
        <f>"6848681BD1"</f>
        <v>6848681BD1</v>
      </c>
      <c r="B838" t="str">
        <f>"02406911202"</f>
        <v>02406911202</v>
      </c>
      <c r="C838" t="s">
        <v>13</v>
      </c>
      <c r="D838" t="s">
        <v>30</v>
      </c>
      <c r="E838" t="s">
        <v>1019</v>
      </c>
      <c r="F838" t="s">
        <v>46</v>
      </c>
      <c r="G838" t="str">
        <f>"05297730961"</f>
        <v>05297730961</v>
      </c>
      <c r="I838" t="s">
        <v>243</v>
      </c>
      <c r="L838" t="s">
        <v>34</v>
      </c>
      <c r="M838">
        <v>178000</v>
      </c>
      <c r="P838">
        <v>100000</v>
      </c>
      <c r="Q838">
        <v>3000</v>
      </c>
      <c r="R838">
        <v>70000</v>
      </c>
      <c r="S838">
        <v>5000</v>
      </c>
      <c r="AC838" t="s">
        <v>1014</v>
      </c>
    </row>
    <row r="839" spans="1:29" ht="12.75">
      <c r="A839" t="str">
        <f>"68486840D4"</f>
        <v>68486840D4</v>
      </c>
      <c r="B839" t="str">
        <f>"02406911202"</f>
        <v>02406911202</v>
      </c>
      <c r="C839" t="s">
        <v>13</v>
      </c>
      <c r="D839" t="s">
        <v>30</v>
      </c>
      <c r="E839" t="s">
        <v>1019</v>
      </c>
      <c r="F839" t="s">
        <v>46</v>
      </c>
      <c r="G839" t="str">
        <f>"03345200962"</f>
        <v>03345200962</v>
      </c>
      <c r="I839" t="s">
        <v>1022</v>
      </c>
      <c r="L839" t="s">
        <v>34</v>
      </c>
      <c r="M839">
        <v>25000</v>
      </c>
      <c r="N839">
        <v>5000</v>
      </c>
      <c r="P839">
        <v>20000</v>
      </c>
      <c r="AC839" t="s">
        <v>1014</v>
      </c>
    </row>
    <row r="840" spans="1:29" ht="12.75">
      <c r="A840" t="str">
        <f>"6848696AB8"</f>
        <v>6848696AB8</v>
      </c>
      <c r="B840" t="str">
        <f>"02406911202"</f>
        <v>02406911202</v>
      </c>
      <c r="C840" t="s">
        <v>13</v>
      </c>
      <c r="D840" t="s">
        <v>30</v>
      </c>
      <c r="E840" t="s">
        <v>1019</v>
      </c>
      <c r="F840" t="s">
        <v>46</v>
      </c>
      <c r="G840" t="str">
        <f>"10617240154"</f>
        <v>10617240154</v>
      </c>
      <c r="I840" t="s">
        <v>697</v>
      </c>
      <c r="L840" t="s">
        <v>34</v>
      </c>
      <c r="M840">
        <v>78500</v>
      </c>
      <c r="P840">
        <v>70000</v>
      </c>
      <c r="Q840">
        <v>8500</v>
      </c>
      <c r="AC840" t="s">
        <v>1014</v>
      </c>
    </row>
    <row r="841" spans="1:29" ht="12.75">
      <c r="A841" t="str">
        <f>"6848699D31"</f>
        <v>6848699D31</v>
      </c>
      <c r="B841" t="str">
        <f>"02406911202"</f>
        <v>02406911202</v>
      </c>
      <c r="C841" t="s">
        <v>13</v>
      </c>
      <c r="D841" t="s">
        <v>30</v>
      </c>
      <c r="E841" t="s">
        <v>1019</v>
      </c>
      <c r="F841" t="s">
        <v>46</v>
      </c>
      <c r="G841" t="str">
        <f>"09270550016"</f>
        <v>09270550016</v>
      </c>
      <c r="I841" t="s">
        <v>1023</v>
      </c>
      <c r="L841" t="s">
        <v>34</v>
      </c>
      <c r="M841">
        <v>252000</v>
      </c>
      <c r="N841">
        <v>10000</v>
      </c>
      <c r="O841">
        <v>30000</v>
      </c>
      <c r="P841">
        <v>10000</v>
      </c>
      <c r="Q841">
        <v>20000</v>
      </c>
      <c r="S841">
        <v>182000</v>
      </c>
      <c r="AC841" t="s">
        <v>1014</v>
      </c>
    </row>
    <row r="842" spans="1:29" ht="12.75">
      <c r="A842" t="str">
        <f>"6848704155"</f>
        <v>6848704155</v>
      </c>
      <c r="B842" t="str">
        <f>"02406911202"</f>
        <v>02406911202</v>
      </c>
      <c r="C842" t="s">
        <v>13</v>
      </c>
      <c r="D842" t="s">
        <v>30</v>
      </c>
      <c r="E842" t="s">
        <v>1019</v>
      </c>
      <c r="F842" t="s">
        <v>46</v>
      </c>
      <c r="G842" t="str">
        <f>"08082461008"</f>
        <v>08082461008</v>
      </c>
      <c r="I842" t="s">
        <v>69</v>
      </c>
      <c r="L842" t="s">
        <v>34</v>
      </c>
      <c r="M842">
        <v>918000</v>
      </c>
      <c r="N842">
        <v>258000</v>
      </c>
      <c r="P842">
        <v>283000</v>
      </c>
      <c r="Q842">
        <v>64000</v>
      </c>
      <c r="R842">
        <v>48000</v>
      </c>
      <c r="S842">
        <v>265000</v>
      </c>
      <c r="AC842" t="s">
        <v>1014</v>
      </c>
    </row>
    <row r="843" spans="1:29" ht="12.75">
      <c r="A843" t="str">
        <f>"6848739E33"</f>
        <v>6848739E33</v>
      </c>
      <c r="B843" t="str">
        <f>"02406911202"</f>
        <v>02406911202</v>
      </c>
      <c r="C843" t="s">
        <v>13</v>
      </c>
      <c r="D843" t="s">
        <v>30</v>
      </c>
      <c r="E843" t="s">
        <v>1019</v>
      </c>
      <c r="F843" t="s">
        <v>46</v>
      </c>
      <c r="G843" t="str">
        <f>"01427710304"</f>
        <v>01427710304</v>
      </c>
      <c r="I843" t="s">
        <v>699</v>
      </c>
      <c r="L843" t="s">
        <v>34</v>
      </c>
      <c r="M843">
        <v>64000</v>
      </c>
      <c r="N843">
        <v>12500</v>
      </c>
      <c r="P843">
        <v>27000</v>
      </c>
      <c r="Q843">
        <v>2500</v>
      </c>
      <c r="R843">
        <v>7000</v>
      </c>
      <c r="S843">
        <v>15000</v>
      </c>
      <c r="AC843" t="s">
        <v>1014</v>
      </c>
    </row>
    <row r="844" spans="1:29" ht="12.75">
      <c r="A844" t="str">
        <f>"6848743184"</f>
        <v>6848743184</v>
      </c>
      <c r="B844" t="str">
        <f>"02406911202"</f>
        <v>02406911202</v>
      </c>
      <c r="C844" t="s">
        <v>13</v>
      </c>
      <c r="D844" t="s">
        <v>30</v>
      </c>
      <c r="E844" t="s">
        <v>1019</v>
      </c>
      <c r="F844" t="s">
        <v>46</v>
      </c>
      <c r="G844" t="str">
        <f>"07443190967"</f>
        <v>07443190967</v>
      </c>
      <c r="I844" t="s">
        <v>1024</v>
      </c>
      <c r="L844" t="s">
        <v>34</v>
      </c>
      <c r="M844">
        <v>10000</v>
      </c>
      <c r="P844">
        <v>10000</v>
      </c>
      <c r="AC844" t="s">
        <v>1014</v>
      </c>
    </row>
    <row r="845" spans="1:29" ht="12.75">
      <c r="A845" t="str">
        <f>"68487463FD"</f>
        <v>68487463FD</v>
      </c>
      <c r="B845" t="str">
        <f>"02406911202"</f>
        <v>02406911202</v>
      </c>
      <c r="C845" t="s">
        <v>13</v>
      </c>
      <c r="D845" t="s">
        <v>30</v>
      </c>
      <c r="E845" t="s">
        <v>1019</v>
      </c>
      <c r="F845" t="s">
        <v>46</v>
      </c>
      <c r="G845" t="str">
        <f>"07578989068"</f>
        <v>07578989068</v>
      </c>
      <c r="I845" t="s">
        <v>1025</v>
      </c>
      <c r="L845" t="s">
        <v>34</v>
      </c>
      <c r="M845">
        <v>48000</v>
      </c>
      <c r="N845">
        <v>10000</v>
      </c>
      <c r="P845">
        <v>38000</v>
      </c>
      <c r="AC845" t="s">
        <v>1014</v>
      </c>
    </row>
    <row r="846" spans="1:29" ht="12.75">
      <c r="A846" t="str">
        <f>"6848760F87"</f>
        <v>6848760F87</v>
      </c>
      <c r="B846" t="str">
        <f>"02406911202"</f>
        <v>02406911202</v>
      </c>
      <c r="C846" t="s">
        <v>13</v>
      </c>
      <c r="D846" t="s">
        <v>30</v>
      </c>
      <c r="E846" t="s">
        <v>1019</v>
      </c>
      <c r="F846" t="s">
        <v>46</v>
      </c>
      <c r="G846" t="str">
        <f>"00972790109"</f>
        <v>00972790109</v>
      </c>
      <c r="I846" t="s">
        <v>1026</v>
      </c>
      <c r="L846" t="s">
        <v>34</v>
      </c>
      <c r="M846">
        <v>98000</v>
      </c>
      <c r="N846">
        <v>68000</v>
      </c>
      <c r="P846">
        <v>30000</v>
      </c>
      <c r="AC846" t="s">
        <v>1014</v>
      </c>
    </row>
    <row r="847" spans="1:29" ht="12.75">
      <c r="A847" t="str">
        <f>"6848767551"</f>
        <v>6848767551</v>
      </c>
      <c r="B847" t="str">
        <f>"02406911202"</f>
        <v>02406911202</v>
      </c>
      <c r="C847" t="s">
        <v>13</v>
      </c>
      <c r="D847" t="s">
        <v>30</v>
      </c>
      <c r="E847" t="s">
        <v>1019</v>
      </c>
      <c r="F847" t="s">
        <v>46</v>
      </c>
      <c r="G847" t="str">
        <f>"10354510157"</f>
        <v>10354510157</v>
      </c>
      <c r="I847" t="s">
        <v>1027</v>
      </c>
      <c r="L847" t="s">
        <v>34</v>
      </c>
      <c r="M847">
        <v>68000</v>
      </c>
      <c r="N847">
        <v>5000</v>
      </c>
      <c r="P847">
        <v>25000</v>
      </c>
      <c r="Q847">
        <v>6000</v>
      </c>
      <c r="R847">
        <v>5000</v>
      </c>
      <c r="S847">
        <v>27000</v>
      </c>
      <c r="AC847" t="s">
        <v>1014</v>
      </c>
    </row>
    <row r="848" spans="1:29" ht="12.75">
      <c r="A848" t="str">
        <f>"6848777D8F"</f>
        <v>6848777D8F</v>
      </c>
      <c r="B848" t="str">
        <f>"02406911202"</f>
        <v>02406911202</v>
      </c>
      <c r="C848" t="s">
        <v>13</v>
      </c>
      <c r="D848" t="s">
        <v>30</v>
      </c>
      <c r="E848" t="s">
        <v>1019</v>
      </c>
      <c r="F848" t="s">
        <v>46</v>
      </c>
      <c r="G848" t="str">
        <f>"01949700221"</f>
        <v>01949700221</v>
      </c>
      <c r="I848" t="s">
        <v>1028</v>
      </c>
      <c r="L848" t="s">
        <v>34</v>
      </c>
      <c r="M848">
        <v>202000</v>
      </c>
      <c r="N848">
        <v>5000</v>
      </c>
      <c r="O848">
        <v>20000</v>
      </c>
      <c r="P848">
        <v>150000</v>
      </c>
      <c r="Q848">
        <v>12000</v>
      </c>
      <c r="S848">
        <v>15000</v>
      </c>
      <c r="AC848" t="s">
        <v>1014</v>
      </c>
    </row>
    <row r="849" spans="1:29" ht="12.75">
      <c r="A849" t="str">
        <f>"68487875D2"</f>
        <v>68487875D2</v>
      </c>
      <c r="B849" t="str">
        <f>"02406911202"</f>
        <v>02406911202</v>
      </c>
      <c r="C849" t="s">
        <v>13</v>
      </c>
      <c r="D849" t="s">
        <v>30</v>
      </c>
      <c r="E849" t="s">
        <v>1019</v>
      </c>
      <c r="F849" t="s">
        <v>46</v>
      </c>
      <c r="G849" t="str">
        <f>"02417881204"</f>
        <v>02417881204</v>
      </c>
      <c r="I849" t="s">
        <v>1029</v>
      </c>
      <c r="L849" t="s">
        <v>34</v>
      </c>
      <c r="M849">
        <v>100000</v>
      </c>
      <c r="P849">
        <v>100000</v>
      </c>
      <c r="AC849" t="s">
        <v>1014</v>
      </c>
    </row>
    <row r="850" spans="1:29" ht="12.75">
      <c r="A850" t="str">
        <f>"6848796D3D"</f>
        <v>6848796D3D</v>
      </c>
      <c r="B850" t="str">
        <f>"02406911202"</f>
        <v>02406911202</v>
      </c>
      <c r="C850" t="s">
        <v>13</v>
      </c>
      <c r="D850" t="s">
        <v>30</v>
      </c>
      <c r="E850" t="s">
        <v>1019</v>
      </c>
      <c r="F850" t="s">
        <v>46</v>
      </c>
      <c r="G850" t="str">
        <f>"08976680150"</f>
        <v>08976680150</v>
      </c>
      <c r="I850" t="s">
        <v>1030</v>
      </c>
      <c r="L850" t="s">
        <v>34</v>
      </c>
      <c r="M850">
        <v>410000</v>
      </c>
      <c r="N850">
        <v>27000</v>
      </c>
      <c r="O850">
        <v>11000</v>
      </c>
      <c r="P850">
        <v>285000</v>
      </c>
      <c r="Q850">
        <v>22000</v>
      </c>
      <c r="R850">
        <v>48000</v>
      </c>
      <c r="S850">
        <v>17000</v>
      </c>
      <c r="AC850" t="s">
        <v>1014</v>
      </c>
    </row>
    <row r="851" spans="1:29" ht="12.75">
      <c r="A851" t="str">
        <f>"6848803307"</f>
        <v>6848803307</v>
      </c>
      <c r="B851" t="str">
        <f>"02406911202"</f>
        <v>02406911202</v>
      </c>
      <c r="C851" t="s">
        <v>13</v>
      </c>
      <c r="D851" t="s">
        <v>30</v>
      </c>
      <c r="E851" t="s">
        <v>1019</v>
      </c>
      <c r="F851" t="s">
        <v>46</v>
      </c>
      <c r="G851" t="str">
        <f>"04874470968"</f>
        <v>04874470968</v>
      </c>
      <c r="I851" t="s">
        <v>1031</v>
      </c>
      <c r="L851" t="s">
        <v>34</v>
      </c>
      <c r="M851">
        <v>123000</v>
      </c>
      <c r="N851">
        <v>15000</v>
      </c>
      <c r="P851">
        <v>90000</v>
      </c>
      <c r="Q851">
        <v>3000</v>
      </c>
      <c r="R851">
        <v>15000</v>
      </c>
      <c r="AC851" t="s">
        <v>1014</v>
      </c>
    </row>
    <row r="852" spans="1:29" ht="12.75">
      <c r="A852" t="str">
        <f>"6848807653"</f>
        <v>6848807653</v>
      </c>
      <c r="B852" t="str">
        <f>"02406911202"</f>
        <v>02406911202</v>
      </c>
      <c r="C852" t="s">
        <v>13</v>
      </c>
      <c r="D852" t="s">
        <v>30</v>
      </c>
      <c r="E852" t="s">
        <v>1019</v>
      </c>
      <c r="F852" t="s">
        <v>46</v>
      </c>
      <c r="G852" t="str">
        <f>"00953780962"</f>
        <v>00953780962</v>
      </c>
      <c r="I852" t="s">
        <v>1032</v>
      </c>
      <c r="L852" t="s">
        <v>34</v>
      </c>
      <c r="M852">
        <v>180000</v>
      </c>
      <c r="N852">
        <v>5000</v>
      </c>
      <c r="O852">
        <v>10000</v>
      </c>
      <c r="P852">
        <v>130000</v>
      </c>
      <c r="S852">
        <v>35000</v>
      </c>
      <c r="AC852" t="s">
        <v>1014</v>
      </c>
    </row>
    <row r="853" spans="1:29" ht="12.75">
      <c r="A853" t="str">
        <f>"6848812A72"</f>
        <v>6848812A72</v>
      </c>
      <c r="B853" t="str">
        <f>"02406911202"</f>
        <v>02406911202</v>
      </c>
      <c r="C853" t="s">
        <v>13</v>
      </c>
      <c r="D853" t="s">
        <v>30</v>
      </c>
      <c r="E853" t="s">
        <v>1019</v>
      </c>
      <c r="F853" t="s">
        <v>46</v>
      </c>
      <c r="G853" t="str">
        <f>"12572900152"</f>
        <v>12572900152</v>
      </c>
      <c r="I853" t="s">
        <v>704</v>
      </c>
      <c r="L853" t="s">
        <v>34</v>
      </c>
      <c r="M853">
        <v>780300</v>
      </c>
      <c r="N853">
        <v>397000</v>
      </c>
      <c r="P853">
        <v>165000</v>
      </c>
      <c r="Q853">
        <v>40000</v>
      </c>
      <c r="R853">
        <v>31500</v>
      </c>
      <c r="S853">
        <v>146800</v>
      </c>
      <c r="AC853" t="s">
        <v>1014</v>
      </c>
    </row>
    <row r="854" spans="1:29" ht="12.75">
      <c r="A854" t="str">
        <f>"6848815CEB"</f>
        <v>6848815CEB</v>
      </c>
      <c r="B854" t="str">
        <f>"02406911202"</f>
        <v>02406911202</v>
      </c>
      <c r="C854" t="s">
        <v>13</v>
      </c>
      <c r="D854" t="s">
        <v>30</v>
      </c>
      <c r="E854" t="s">
        <v>1019</v>
      </c>
      <c r="F854" t="s">
        <v>46</v>
      </c>
      <c r="G854" t="str">
        <f>"07532430589"</f>
        <v>07532430589</v>
      </c>
      <c r="I854" t="s">
        <v>1033</v>
      </c>
      <c r="L854" t="s">
        <v>34</v>
      </c>
      <c r="M854">
        <v>26750</v>
      </c>
      <c r="S854">
        <v>26750</v>
      </c>
      <c r="AC854" t="s">
        <v>1014</v>
      </c>
    </row>
    <row r="855" spans="1:29" ht="12.75">
      <c r="A855" t="str">
        <f>"68488211E2"</f>
        <v>68488211E2</v>
      </c>
      <c r="B855" t="str">
        <f>"02406911202"</f>
        <v>02406911202</v>
      </c>
      <c r="C855" t="s">
        <v>13</v>
      </c>
      <c r="D855" t="s">
        <v>30</v>
      </c>
      <c r="E855" t="s">
        <v>1019</v>
      </c>
      <c r="F855" t="s">
        <v>46</v>
      </c>
      <c r="G855" t="str">
        <f>"01718050204"</f>
        <v>01718050204</v>
      </c>
      <c r="I855" t="s">
        <v>1034</v>
      </c>
      <c r="L855" t="s">
        <v>34</v>
      </c>
      <c r="M855">
        <v>66000</v>
      </c>
      <c r="S855">
        <v>66000</v>
      </c>
      <c r="AC855" t="s">
        <v>1014</v>
      </c>
    </row>
    <row r="856" spans="1:29" ht="12.75">
      <c r="A856" t="str">
        <f>"684882552E"</f>
        <v>684882552E</v>
      </c>
      <c r="B856" t="str">
        <f>"02406911202"</f>
        <v>02406911202</v>
      </c>
      <c r="C856" t="s">
        <v>13</v>
      </c>
      <c r="D856" t="s">
        <v>30</v>
      </c>
      <c r="E856" t="s">
        <v>1035</v>
      </c>
      <c r="F856" t="s">
        <v>46</v>
      </c>
      <c r="G856" t="str">
        <f>"09012850153"</f>
        <v>09012850153</v>
      </c>
      <c r="I856" t="s">
        <v>1036</v>
      </c>
      <c r="L856" t="s">
        <v>34</v>
      </c>
      <c r="M856">
        <v>424000</v>
      </c>
      <c r="N856">
        <v>163000</v>
      </c>
      <c r="P856">
        <v>188000</v>
      </c>
      <c r="R856">
        <v>73000</v>
      </c>
      <c r="AC856" t="s">
        <v>1014</v>
      </c>
    </row>
    <row r="857" spans="1:30" ht="12.75">
      <c r="A857" t="str">
        <f>"6741482EEC"</f>
        <v>6741482EEC</v>
      </c>
      <c r="B857" t="str">
        <f>"02406911202"</f>
        <v>02406911202</v>
      </c>
      <c r="C857" t="s">
        <v>13</v>
      </c>
      <c r="D857" t="s">
        <v>30</v>
      </c>
      <c r="E857" t="s">
        <v>1037</v>
      </c>
      <c r="F857" t="s">
        <v>32</v>
      </c>
      <c r="M857">
        <v>0</v>
      </c>
      <c r="AC857" t="s">
        <v>290</v>
      </c>
      <c r="AD857" t="s">
        <v>1038</v>
      </c>
    </row>
    <row r="858" spans="1:29" ht="12.75">
      <c r="A858" t="str">
        <f>"68340547C3"</f>
        <v>68340547C3</v>
      </c>
      <c r="B858" t="str">
        <f>"02406911202"</f>
        <v>02406911202</v>
      </c>
      <c r="C858" t="s">
        <v>13</v>
      </c>
      <c r="D858" t="s">
        <v>30</v>
      </c>
      <c r="E858" t="s">
        <v>1039</v>
      </c>
      <c r="F858" t="s">
        <v>32</v>
      </c>
      <c r="G858" t="str">
        <f>"00076670595"</f>
        <v>00076670595</v>
      </c>
      <c r="I858" t="s">
        <v>104</v>
      </c>
      <c r="L858" t="s">
        <v>34</v>
      </c>
      <c r="M858">
        <v>140140</v>
      </c>
      <c r="N858">
        <v>101920</v>
      </c>
      <c r="Q858">
        <v>38220</v>
      </c>
      <c r="AC858" t="s">
        <v>892</v>
      </c>
    </row>
    <row r="859" spans="1:29" ht="12.75">
      <c r="A859" t="str">
        <f>"6564004375"</f>
        <v>6564004375</v>
      </c>
      <c r="B859" t="str">
        <f>"02406911202"</f>
        <v>02406911202</v>
      </c>
      <c r="C859" t="s">
        <v>13</v>
      </c>
      <c r="D859" t="s">
        <v>30</v>
      </c>
      <c r="E859" t="s">
        <v>1040</v>
      </c>
      <c r="F859" t="s">
        <v>1041</v>
      </c>
      <c r="G859" t="str">
        <f>"00742090152"</f>
        <v>00742090152</v>
      </c>
      <c r="I859" t="s">
        <v>1042</v>
      </c>
      <c r="L859" t="s">
        <v>91</v>
      </c>
      <c r="AC859" t="s">
        <v>136</v>
      </c>
    </row>
    <row r="860" spans="1:29" ht="12.75">
      <c r="A860" t="str">
        <f>"68733958FB"</f>
        <v>68733958FB</v>
      </c>
      <c r="B860" t="str">
        <f>"02406911202"</f>
        <v>02406911202</v>
      </c>
      <c r="C860" t="s">
        <v>13</v>
      </c>
      <c r="D860" t="s">
        <v>30</v>
      </c>
      <c r="E860" t="s">
        <v>1043</v>
      </c>
      <c r="F860" t="s">
        <v>46</v>
      </c>
      <c r="G860" t="str">
        <f>"06111530637"</f>
        <v>06111530637</v>
      </c>
      <c r="I860" t="s">
        <v>1044</v>
      </c>
      <c r="L860" t="s">
        <v>34</v>
      </c>
      <c r="M860">
        <v>97974</v>
      </c>
      <c r="N860">
        <v>37608</v>
      </c>
      <c r="O860">
        <v>42360</v>
      </c>
      <c r="P860">
        <v>6160</v>
      </c>
      <c r="Q860">
        <v>2694</v>
      </c>
      <c r="R860">
        <v>9152</v>
      </c>
      <c r="AC860" t="s">
        <v>1045</v>
      </c>
    </row>
    <row r="861" spans="1:29" ht="12.75">
      <c r="A861" t="str">
        <f>"6873423019"</f>
        <v>6873423019</v>
      </c>
      <c r="B861" t="str">
        <f>"02406911202"</f>
        <v>02406911202</v>
      </c>
      <c r="C861" t="s">
        <v>13</v>
      </c>
      <c r="D861" t="s">
        <v>30</v>
      </c>
      <c r="E861" t="s">
        <v>1046</v>
      </c>
      <c r="F861" t="s">
        <v>46</v>
      </c>
      <c r="G861" t="str">
        <f>"04192740969"</f>
        <v>04192740969</v>
      </c>
      <c r="I861" t="s">
        <v>531</v>
      </c>
      <c r="L861" t="s">
        <v>34</v>
      </c>
      <c r="M861">
        <v>78709.58</v>
      </c>
      <c r="N861">
        <v>35694.4</v>
      </c>
      <c r="O861">
        <v>6581.2</v>
      </c>
      <c r="P861">
        <v>990</v>
      </c>
      <c r="Q861">
        <v>3421.44</v>
      </c>
      <c r="R861">
        <v>19374.92</v>
      </c>
      <c r="S861">
        <v>12647.62</v>
      </c>
      <c r="AC861" t="s">
        <v>1045</v>
      </c>
    </row>
    <row r="862" spans="1:29" ht="12.75">
      <c r="A862" t="str">
        <f>"6873441EEF"</f>
        <v>6873441EEF</v>
      </c>
      <c r="B862" t="str">
        <f>"02406911202"</f>
        <v>02406911202</v>
      </c>
      <c r="C862" t="s">
        <v>13</v>
      </c>
      <c r="D862" t="s">
        <v>30</v>
      </c>
      <c r="E862" t="s">
        <v>1047</v>
      </c>
      <c r="F862" t="s">
        <v>46</v>
      </c>
      <c r="G862" t="str">
        <f>"02387941202"</f>
        <v>02387941202</v>
      </c>
      <c r="I862" t="s">
        <v>508</v>
      </c>
      <c r="L862" t="s">
        <v>34</v>
      </c>
      <c r="M862">
        <v>120558.44</v>
      </c>
      <c r="N862">
        <v>57636.16</v>
      </c>
      <c r="O862">
        <v>16172.46</v>
      </c>
      <c r="P862">
        <v>976.48</v>
      </c>
      <c r="Q862">
        <v>13750.8</v>
      </c>
      <c r="R862">
        <v>19374.92</v>
      </c>
      <c r="S862">
        <v>12647.62</v>
      </c>
      <c r="AC862" t="s">
        <v>1045</v>
      </c>
    </row>
    <row r="863" spans="1:29" ht="12.75">
      <c r="A863" t="str">
        <f>"68734611B"</f>
        <v>68734611B</v>
      </c>
      <c r="B863" t="str">
        <f>"02406911202"</f>
        <v>02406911202</v>
      </c>
      <c r="C863" t="s">
        <v>13</v>
      </c>
      <c r="D863" t="s">
        <v>30</v>
      </c>
      <c r="E863" t="s">
        <v>1047</v>
      </c>
      <c r="F863" t="s">
        <v>46</v>
      </c>
      <c r="G863" t="str">
        <f>"03428610152"</f>
        <v>03428610152</v>
      </c>
      <c r="I863" t="s">
        <v>546</v>
      </c>
      <c r="L863" t="s">
        <v>34</v>
      </c>
      <c r="M863">
        <v>10109.44</v>
      </c>
      <c r="N863">
        <v>4179.2</v>
      </c>
      <c r="O863">
        <v>1568</v>
      </c>
      <c r="P863">
        <v>1305.6</v>
      </c>
      <c r="Q863">
        <v>729.6</v>
      </c>
      <c r="R863">
        <v>1329.4</v>
      </c>
      <c r="S863">
        <v>997.64</v>
      </c>
      <c r="AC863" t="s">
        <v>1045</v>
      </c>
    </row>
    <row r="864" spans="1:29" ht="12.75">
      <c r="A864" t="str">
        <f>"6845095F13"</f>
        <v>6845095F13</v>
      </c>
      <c r="B864" t="str">
        <f>"02406911202"</f>
        <v>02406911202</v>
      </c>
      <c r="C864" t="s">
        <v>13</v>
      </c>
      <c r="D864" t="s">
        <v>30</v>
      </c>
      <c r="E864" t="s">
        <v>1048</v>
      </c>
      <c r="F864" t="s">
        <v>32</v>
      </c>
      <c r="G864" t="str">
        <f>"10923790157"</f>
        <v>10923790157</v>
      </c>
      <c r="I864" t="s">
        <v>768</v>
      </c>
      <c r="L864" t="s">
        <v>34</v>
      </c>
      <c r="M864">
        <v>91853.52</v>
      </c>
      <c r="O864">
        <v>91853.52</v>
      </c>
      <c r="AC864" t="s">
        <v>943</v>
      </c>
    </row>
    <row r="865" spans="1:29" ht="12.75">
      <c r="A865" t="str">
        <f>"68129532AC"</f>
        <v>68129532AC</v>
      </c>
      <c r="B865" t="str">
        <f>"02406911202"</f>
        <v>02406911202</v>
      </c>
      <c r="C865" t="s">
        <v>13</v>
      </c>
      <c r="D865" t="s">
        <v>30</v>
      </c>
      <c r="E865" t="s">
        <v>1049</v>
      </c>
      <c r="F865" t="s">
        <v>32</v>
      </c>
      <c r="G865" t="str">
        <f>"11206730159"</f>
        <v>11206730159</v>
      </c>
      <c r="I865" t="s">
        <v>65</v>
      </c>
      <c r="L865" t="s">
        <v>34</v>
      </c>
      <c r="M865">
        <v>195220</v>
      </c>
      <c r="N865">
        <v>138170</v>
      </c>
      <c r="O865">
        <v>50320</v>
      </c>
      <c r="Q865">
        <v>6730</v>
      </c>
      <c r="AC865" t="s">
        <v>1050</v>
      </c>
    </row>
    <row r="866" spans="1:29" ht="12.75">
      <c r="A866" t="str">
        <f>"6812963AEA"</f>
        <v>6812963AEA</v>
      </c>
      <c r="B866" t="str">
        <f>"02406911202"</f>
        <v>02406911202</v>
      </c>
      <c r="C866" t="s">
        <v>13</v>
      </c>
      <c r="D866" t="s">
        <v>30</v>
      </c>
      <c r="E866" t="s">
        <v>1049</v>
      </c>
      <c r="F866" t="s">
        <v>32</v>
      </c>
      <c r="G866" t="str">
        <f>"09238800156"</f>
        <v>09238800156</v>
      </c>
      <c r="I866" t="s">
        <v>72</v>
      </c>
      <c r="L866" t="s">
        <v>34</v>
      </c>
      <c r="M866">
        <v>721610</v>
      </c>
      <c r="N866">
        <v>242462</v>
      </c>
      <c r="O866">
        <v>386825</v>
      </c>
      <c r="Q866">
        <v>92323</v>
      </c>
      <c r="AC866" t="s">
        <v>1050</v>
      </c>
    </row>
    <row r="867" spans="1:29" ht="12.75">
      <c r="A867" t="str">
        <f>"68129700B4"</f>
        <v>68129700B4</v>
      </c>
      <c r="B867" t="str">
        <f>"02406911202"</f>
        <v>02406911202</v>
      </c>
      <c r="C867" t="s">
        <v>13</v>
      </c>
      <c r="D867" t="s">
        <v>30</v>
      </c>
      <c r="E867" t="s">
        <v>1049</v>
      </c>
      <c r="F867" t="s">
        <v>32</v>
      </c>
      <c r="G867" t="str">
        <f>"11264670156"</f>
        <v>11264670156</v>
      </c>
      <c r="I867" t="s">
        <v>76</v>
      </c>
      <c r="L867" t="s">
        <v>34</v>
      </c>
      <c r="M867">
        <v>223350</v>
      </c>
      <c r="N867">
        <v>116150</v>
      </c>
      <c r="O867">
        <v>83800</v>
      </c>
      <c r="Q867">
        <v>23400</v>
      </c>
      <c r="AC867" t="s">
        <v>1050</v>
      </c>
    </row>
    <row r="868" spans="1:29" ht="12.75">
      <c r="A868" t="str">
        <f>"6902984A98"</f>
        <v>6902984A98</v>
      </c>
      <c r="B868" t="str">
        <f>"02406911202"</f>
        <v>02406911202</v>
      </c>
      <c r="C868" t="s">
        <v>13</v>
      </c>
      <c r="D868" t="s">
        <v>30</v>
      </c>
      <c r="E868" t="s">
        <v>1051</v>
      </c>
      <c r="F868" t="s">
        <v>32</v>
      </c>
      <c r="G868" t="str">
        <f>"93027710016"</f>
        <v>93027710016</v>
      </c>
      <c r="I868" t="s">
        <v>265</v>
      </c>
      <c r="L868" t="s">
        <v>34</v>
      </c>
      <c r="M868">
        <v>115000</v>
      </c>
      <c r="O868">
        <v>115000</v>
      </c>
      <c r="AA868" t="s">
        <v>954</v>
      </c>
      <c r="AB868" t="s">
        <v>180</v>
      </c>
      <c r="AC868" t="s">
        <v>1052</v>
      </c>
    </row>
    <row r="869" spans="1:30" ht="12.75">
      <c r="A869" t="str">
        <f>"6908956AD8"</f>
        <v>6908956AD8</v>
      </c>
      <c r="B869" t="str">
        <f>"02406911202"</f>
        <v>02406911202</v>
      </c>
      <c r="C869" t="s">
        <v>13</v>
      </c>
      <c r="D869" t="s">
        <v>30</v>
      </c>
      <c r="E869" t="s">
        <v>1053</v>
      </c>
      <c r="F869" t="s">
        <v>32</v>
      </c>
      <c r="G869" t="str">
        <f>"03969290166"</f>
        <v>03969290166</v>
      </c>
      <c r="I869" t="s">
        <v>641</v>
      </c>
      <c r="L869" t="s">
        <v>34</v>
      </c>
      <c r="M869">
        <v>9622.28</v>
      </c>
      <c r="N869">
        <v>7840.28</v>
      </c>
      <c r="Q869">
        <v>1782</v>
      </c>
      <c r="AA869" t="s">
        <v>1054</v>
      </c>
      <c r="AB869" t="s">
        <v>727</v>
      </c>
      <c r="AC869" t="s">
        <v>945</v>
      </c>
      <c r="AD869" t="s">
        <v>1055</v>
      </c>
    </row>
    <row r="870" spans="1:29" ht="12.75">
      <c r="A870" t="str">
        <f>"6824655B75"</f>
        <v>6824655B75</v>
      </c>
      <c r="B870" t="str">
        <f>"02406911202"</f>
        <v>02406911202</v>
      </c>
      <c r="C870" t="s">
        <v>13</v>
      </c>
      <c r="D870" t="s">
        <v>30</v>
      </c>
      <c r="E870" t="s">
        <v>1056</v>
      </c>
      <c r="F870" t="s">
        <v>32</v>
      </c>
      <c r="G870" t="str">
        <f>"04192740969"</f>
        <v>04192740969</v>
      </c>
      <c r="I870" t="s">
        <v>531</v>
      </c>
      <c r="L870" t="s">
        <v>34</v>
      </c>
      <c r="M870">
        <v>23280.8</v>
      </c>
      <c r="N870">
        <v>1540</v>
      </c>
      <c r="P870">
        <v>3784</v>
      </c>
      <c r="Q870">
        <v>3096</v>
      </c>
      <c r="S870">
        <v>14860.8</v>
      </c>
      <c r="AC870" t="s">
        <v>1057</v>
      </c>
    </row>
    <row r="871" spans="1:29" ht="12.75">
      <c r="A871" t="str">
        <f>"6713601ECB"</f>
        <v>6713601ECB</v>
      </c>
      <c r="B871" t="str">
        <f>"02406911202"</f>
        <v>02406911202</v>
      </c>
      <c r="C871" t="s">
        <v>13</v>
      </c>
      <c r="D871" t="s">
        <v>30</v>
      </c>
      <c r="E871" t="s">
        <v>1058</v>
      </c>
      <c r="F871" t="s">
        <v>188</v>
      </c>
      <c r="G871" t="str">
        <f>"04337640280"</f>
        <v>04337640280</v>
      </c>
      <c r="I871" t="s">
        <v>1059</v>
      </c>
      <c r="L871" t="s">
        <v>34</v>
      </c>
      <c r="M871">
        <v>392214.51</v>
      </c>
      <c r="N871">
        <v>290232.45</v>
      </c>
      <c r="S871">
        <v>101982.06</v>
      </c>
      <c r="AC871" t="s">
        <v>679</v>
      </c>
    </row>
    <row r="872" spans="1:29" ht="12.75">
      <c r="A872" t="str">
        <f>"6903979FB0"</f>
        <v>6903979FB0</v>
      </c>
      <c r="B872" t="str">
        <f>"02406911202"</f>
        <v>02406911202</v>
      </c>
      <c r="C872" t="s">
        <v>13</v>
      </c>
      <c r="D872" t="s">
        <v>30</v>
      </c>
      <c r="E872" t="s">
        <v>1060</v>
      </c>
      <c r="F872" t="s">
        <v>32</v>
      </c>
      <c r="G872" t="str">
        <f>"00962280590"</f>
        <v>00962280590</v>
      </c>
      <c r="I872" t="s">
        <v>153</v>
      </c>
      <c r="L872" t="s">
        <v>34</v>
      </c>
      <c r="M872">
        <v>34865.98</v>
      </c>
      <c r="O872">
        <v>34865.98</v>
      </c>
      <c r="AC872" t="s">
        <v>1052</v>
      </c>
    </row>
    <row r="873" spans="1:29" ht="12.75">
      <c r="A873" t="str">
        <f>"68724930A3"</f>
        <v>68724930A3</v>
      </c>
      <c r="B873" t="str">
        <f>"02406911202"</f>
        <v>02406911202</v>
      </c>
      <c r="C873" t="s">
        <v>13</v>
      </c>
      <c r="D873" t="s">
        <v>30</v>
      </c>
      <c r="E873" t="s">
        <v>1061</v>
      </c>
      <c r="F873" t="s">
        <v>32</v>
      </c>
      <c r="G873" t="str">
        <f>"10777700153"</f>
        <v>10777700153</v>
      </c>
      <c r="I873" t="s">
        <v>1062</v>
      </c>
      <c r="L873" t="s">
        <v>34</v>
      </c>
      <c r="M873">
        <v>45082</v>
      </c>
      <c r="P873">
        <v>45082</v>
      </c>
      <c r="AC873" t="s">
        <v>1016</v>
      </c>
    </row>
    <row r="874" spans="1:29" ht="12.75">
      <c r="A874" t="str">
        <f>"676254657F"</f>
        <v>676254657F</v>
      </c>
      <c r="B874" t="str">
        <f>"02406911202"</f>
        <v>02406911202</v>
      </c>
      <c r="C874" t="s">
        <v>13</v>
      </c>
      <c r="D874" t="s">
        <v>30</v>
      </c>
      <c r="E874" t="s">
        <v>1063</v>
      </c>
      <c r="F874" t="s">
        <v>32</v>
      </c>
      <c r="G874" t="str">
        <f>"06068041000"</f>
        <v>06068041000</v>
      </c>
      <c r="I874" t="s">
        <v>295</v>
      </c>
      <c r="L874" t="s">
        <v>34</v>
      </c>
      <c r="M874">
        <v>28800</v>
      </c>
      <c r="P874">
        <v>28800</v>
      </c>
      <c r="AC874" t="s">
        <v>1064</v>
      </c>
    </row>
    <row r="875" spans="1:29" ht="12.75">
      <c r="A875" t="str">
        <f>"6839480571"</f>
        <v>6839480571</v>
      </c>
      <c r="B875" t="str">
        <f>"02406911202"</f>
        <v>02406911202</v>
      </c>
      <c r="C875" t="s">
        <v>13</v>
      </c>
      <c r="D875" t="s">
        <v>30</v>
      </c>
      <c r="E875" t="s">
        <v>1065</v>
      </c>
      <c r="F875" t="s">
        <v>32</v>
      </c>
      <c r="G875" t="str">
        <f>"02344710484"</f>
        <v>02344710484</v>
      </c>
      <c r="I875" t="s">
        <v>1066</v>
      </c>
      <c r="L875" t="s">
        <v>34</v>
      </c>
      <c r="M875">
        <v>14256</v>
      </c>
      <c r="N875">
        <v>5049</v>
      </c>
      <c r="O875">
        <v>2079</v>
      </c>
      <c r="Q875">
        <v>2970</v>
      </c>
      <c r="R875">
        <v>2079</v>
      </c>
      <c r="S875">
        <v>2079</v>
      </c>
      <c r="AC875" t="s">
        <v>1067</v>
      </c>
    </row>
    <row r="876" spans="1:29" ht="12.75">
      <c r="A876" t="str">
        <f>"68832605D7"</f>
        <v>68832605D7</v>
      </c>
      <c r="B876" t="str">
        <f>"02406911202"</f>
        <v>02406911202</v>
      </c>
      <c r="C876" t="s">
        <v>13</v>
      </c>
      <c r="D876" t="s">
        <v>30</v>
      </c>
      <c r="E876" t="s">
        <v>1068</v>
      </c>
      <c r="F876" t="s">
        <v>32</v>
      </c>
      <c r="G876" t="str">
        <f>"07999930964"</f>
        <v>07999930964</v>
      </c>
      <c r="I876" t="s">
        <v>1069</v>
      </c>
      <c r="L876" t="s">
        <v>34</v>
      </c>
      <c r="M876">
        <v>60602</v>
      </c>
      <c r="O876">
        <v>6435</v>
      </c>
      <c r="Q876">
        <v>36287</v>
      </c>
      <c r="R876">
        <v>17880</v>
      </c>
      <c r="AC876" t="s">
        <v>1070</v>
      </c>
    </row>
    <row r="877" spans="1:29" ht="12.75">
      <c r="A877" t="str">
        <f>"6883269D42"</f>
        <v>6883269D42</v>
      </c>
      <c r="B877" t="str">
        <f>"02406911202"</f>
        <v>02406911202</v>
      </c>
      <c r="C877" t="s">
        <v>13</v>
      </c>
      <c r="D877" t="s">
        <v>30</v>
      </c>
      <c r="E877" t="s">
        <v>1071</v>
      </c>
      <c r="F877" t="s">
        <v>32</v>
      </c>
      <c r="G877" t="str">
        <f>"00873670152"</f>
        <v>00873670152</v>
      </c>
      <c r="I877" t="s">
        <v>1072</v>
      </c>
      <c r="L877" t="s">
        <v>34</v>
      </c>
      <c r="M877">
        <v>8726.4</v>
      </c>
      <c r="O877">
        <v>8726.4</v>
      </c>
      <c r="AC877" t="s">
        <v>1070</v>
      </c>
    </row>
    <row r="878" spans="1:29" ht="12.75">
      <c r="A878" t="str">
        <f>"688327630C"</f>
        <v>688327630C</v>
      </c>
      <c r="B878" t="str">
        <f>"02406911202"</f>
        <v>02406911202</v>
      </c>
      <c r="C878" t="s">
        <v>13</v>
      </c>
      <c r="D878" t="s">
        <v>30</v>
      </c>
      <c r="E878" t="s">
        <v>1068</v>
      </c>
      <c r="F878" t="s">
        <v>32</v>
      </c>
      <c r="G878" t="str">
        <f>"05849130157"</f>
        <v>05849130157</v>
      </c>
      <c r="I878" t="s">
        <v>144</v>
      </c>
      <c r="L878" t="s">
        <v>34</v>
      </c>
      <c r="M878">
        <v>118846</v>
      </c>
      <c r="N878">
        <v>15625</v>
      </c>
      <c r="O878">
        <v>24795</v>
      </c>
      <c r="P878">
        <v>3400</v>
      </c>
      <c r="Q878">
        <v>7800</v>
      </c>
      <c r="R878">
        <v>29966</v>
      </c>
      <c r="S878">
        <v>37260</v>
      </c>
      <c r="AC878" t="s">
        <v>1070</v>
      </c>
    </row>
    <row r="879" spans="1:29" ht="12.75">
      <c r="A879" t="str">
        <f>"69040813E0"</f>
        <v>69040813E0</v>
      </c>
      <c r="B879" t="str">
        <f>"02406911202"</f>
        <v>02406911202</v>
      </c>
      <c r="C879" t="s">
        <v>13</v>
      </c>
      <c r="D879" t="s">
        <v>30</v>
      </c>
      <c r="E879" t="s">
        <v>1073</v>
      </c>
      <c r="F879" t="s">
        <v>32</v>
      </c>
      <c r="G879" t="str">
        <f>"00207810284"</f>
        <v>00207810284</v>
      </c>
      <c r="I879" t="s">
        <v>458</v>
      </c>
      <c r="L879" t="s">
        <v>34</v>
      </c>
      <c r="M879">
        <v>1652.94</v>
      </c>
      <c r="R879">
        <v>1652.94</v>
      </c>
      <c r="AC879" t="s">
        <v>1074</v>
      </c>
    </row>
    <row r="880" spans="1:29" ht="12.75">
      <c r="A880" t="str">
        <f>"69040889A5"</f>
        <v>69040889A5</v>
      </c>
      <c r="B880" t="str">
        <f>"02406911202"</f>
        <v>02406911202</v>
      </c>
      <c r="C880" t="s">
        <v>13</v>
      </c>
      <c r="D880" t="s">
        <v>30</v>
      </c>
      <c r="E880" t="s">
        <v>1075</v>
      </c>
      <c r="F880" t="s">
        <v>32</v>
      </c>
      <c r="G880" t="str">
        <f>"02518990284"</f>
        <v>02518990284</v>
      </c>
      <c r="I880" t="s">
        <v>574</v>
      </c>
      <c r="L880" t="s">
        <v>34</v>
      </c>
      <c r="M880">
        <v>418330.6</v>
      </c>
      <c r="N880">
        <v>59693.7</v>
      </c>
      <c r="O880">
        <v>168488.4</v>
      </c>
      <c r="P880">
        <v>1113</v>
      </c>
      <c r="Q880">
        <v>27030</v>
      </c>
      <c r="R880">
        <v>35538</v>
      </c>
      <c r="S880">
        <v>126467.5</v>
      </c>
      <c r="AC880" t="s">
        <v>1074</v>
      </c>
    </row>
    <row r="881" spans="1:29" ht="12.75">
      <c r="A881" t="str">
        <f>"6904109AF9"</f>
        <v>6904109AF9</v>
      </c>
      <c r="B881" t="str">
        <f>"02406911202"</f>
        <v>02406911202</v>
      </c>
      <c r="C881" t="s">
        <v>13</v>
      </c>
      <c r="D881" t="s">
        <v>30</v>
      </c>
      <c r="E881" t="s">
        <v>1076</v>
      </c>
      <c r="F881" t="s">
        <v>32</v>
      </c>
      <c r="G881" t="str">
        <f>"12244190158"</f>
        <v>12244190158</v>
      </c>
      <c r="I881" t="s">
        <v>578</v>
      </c>
      <c r="L881" t="s">
        <v>34</v>
      </c>
      <c r="M881">
        <v>177688</v>
      </c>
      <c r="N881">
        <v>87400</v>
      </c>
      <c r="O881">
        <v>37848</v>
      </c>
      <c r="Q881">
        <v>6840</v>
      </c>
      <c r="S881">
        <v>45600</v>
      </c>
      <c r="AC881" t="s">
        <v>1074</v>
      </c>
    </row>
    <row r="882" spans="1:29" ht="12.75">
      <c r="A882" t="str">
        <f>"69042417E8"</f>
        <v>69042417E8</v>
      </c>
      <c r="B882" t="str">
        <f>"02406911202"</f>
        <v>02406911202</v>
      </c>
      <c r="C882" t="s">
        <v>13</v>
      </c>
      <c r="D882" t="s">
        <v>30</v>
      </c>
      <c r="E882" t="s">
        <v>1077</v>
      </c>
      <c r="F882" t="s">
        <v>32</v>
      </c>
      <c r="G882" t="str">
        <f>"00455430108"</f>
        <v>00455430108</v>
      </c>
      <c r="I882" t="s">
        <v>576</v>
      </c>
      <c r="L882" t="s">
        <v>34</v>
      </c>
      <c r="M882">
        <v>6556.29</v>
      </c>
      <c r="N882">
        <v>3080</v>
      </c>
      <c r="R882">
        <v>1628.29</v>
      </c>
      <c r="S882">
        <v>1848</v>
      </c>
      <c r="AC882" t="s">
        <v>1074</v>
      </c>
    </row>
    <row r="883" spans="1:29" ht="12.75">
      <c r="A883" t="str">
        <f>"6904303B11"</f>
        <v>6904303B11</v>
      </c>
      <c r="B883" t="str">
        <f>"02406911202"</f>
        <v>02406911202</v>
      </c>
      <c r="C883" t="s">
        <v>13</v>
      </c>
      <c r="D883" t="s">
        <v>30</v>
      </c>
      <c r="E883" t="s">
        <v>1078</v>
      </c>
      <c r="F883" t="s">
        <v>32</v>
      </c>
      <c r="G883" t="str">
        <f>"01857820284"</f>
        <v>01857820284</v>
      </c>
      <c r="I883" t="s">
        <v>575</v>
      </c>
      <c r="L883" t="s">
        <v>34</v>
      </c>
      <c r="M883">
        <v>10948.83</v>
      </c>
      <c r="N883">
        <v>996</v>
      </c>
      <c r="Q883">
        <v>830</v>
      </c>
      <c r="R883">
        <v>1652.83</v>
      </c>
      <c r="S883">
        <v>7470</v>
      </c>
      <c r="AC883" t="s">
        <v>1074</v>
      </c>
    </row>
    <row r="884" spans="1:29" ht="12.75">
      <c r="A884" t="str">
        <f>"6904325D38"</f>
        <v>6904325D38</v>
      </c>
      <c r="B884" t="str">
        <f>"02406911202"</f>
        <v>02406911202</v>
      </c>
      <c r="C884" t="s">
        <v>13</v>
      </c>
      <c r="D884" t="s">
        <v>30</v>
      </c>
      <c r="E884" t="s">
        <v>1079</v>
      </c>
      <c r="F884" t="s">
        <v>32</v>
      </c>
      <c r="G884" t="str">
        <f>"01313240424"</f>
        <v>01313240424</v>
      </c>
      <c r="I884" t="s">
        <v>577</v>
      </c>
      <c r="L884" t="s">
        <v>34</v>
      </c>
      <c r="M884">
        <v>26709.01</v>
      </c>
      <c r="N884">
        <v>10414</v>
      </c>
      <c r="O884">
        <v>8346.8</v>
      </c>
      <c r="Q884">
        <v>1540</v>
      </c>
      <c r="R884">
        <v>958.21</v>
      </c>
      <c r="S884">
        <v>5450</v>
      </c>
      <c r="AC884" t="s">
        <v>1074</v>
      </c>
    </row>
    <row r="885" spans="1:29" ht="12.75">
      <c r="A885" t="str">
        <f>"6904337721"</f>
        <v>6904337721</v>
      </c>
      <c r="B885" t="str">
        <f>"02406911202"</f>
        <v>02406911202</v>
      </c>
      <c r="C885" t="s">
        <v>13</v>
      </c>
      <c r="D885" t="s">
        <v>30</v>
      </c>
      <c r="E885" t="s">
        <v>1076</v>
      </c>
      <c r="F885" t="s">
        <v>32</v>
      </c>
      <c r="G885" t="str">
        <f>"00899910244"</f>
        <v>00899910244</v>
      </c>
      <c r="I885" t="s">
        <v>573</v>
      </c>
      <c r="L885" t="s">
        <v>34</v>
      </c>
      <c r="M885">
        <v>1529836.76</v>
      </c>
      <c r="N885">
        <v>594584</v>
      </c>
      <c r="O885">
        <v>420064.74</v>
      </c>
      <c r="P885">
        <v>50726.4</v>
      </c>
      <c r="Q885">
        <v>144962.6</v>
      </c>
      <c r="R885">
        <v>211649.02</v>
      </c>
      <c r="S885">
        <v>107850</v>
      </c>
      <c r="AC885" t="s">
        <v>1074</v>
      </c>
    </row>
    <row r="886" spans="1:29" ht="12.75">
      <c r="A886" t="str">
        <f>"6904348037"</f>
        <v>6904348037</v>
      </c>
      <c r="B886" t="str">
        <f>"02406911202"</f>
        <v>02406911202</v>
      </c>
      <c r="C886" t="s">
        <v>13</v>
      </c>
      <c r="D886" t="s">
        <v>30</v>
      </c>
      <c r="E886" t="s">
        <v>1079</v>
      </c>
      <c r="F886" t="s">
        <v>32</v>
      </c>
      <c r="G886" t="str">
        <f>"01167730355"</f>
        <v>01167730355</v>
      </c>
      <c r="I886" t="s">
        <v>579</v>
      </c>
      <c r="L886" t="s">
        <v>34</v>
      </c>
      <c r="M886">
        <v>22980</v>
      </c>
      <c r="O886">
        <v>22980</v>
      </c>
      <c r="AC886" t="s">
        <v>1074</v>
      </c>
    </row>
    <row r="887" spans="1:29" ht="12.75">
      <c r="A887" t="str">
        <f>"6934787F41"</f>
        <v>6934787F41</v>
      </c>
      <c r="B887" t="str">
        <f>"02406911202"</f>
        <v>02406911202</v>
      </c>
      <c r="C887" t="s">
        <v>13</v>
      </c>
      <c r="D887" t="s">
        <v>30</v>
      </c>
      <c r="E887" t="s">
        <v>1080</v>
      </c>
      <c r="F887" t="s">
        <v>32</v>
      </c>
      <c r="G887" t="str">
        <f>"00076670595"</f>
        <v>00076670595</v>
      </c>
      <c r="I887" t="s">
        <v>104</v>
      </c>
      <c r="L887" t="s">
        <v>91</v>
      </c>
      <c r="AC887" t="s">
        <v>1081</v>
      </c>
    </row>
    <row r="888" spans="1:29" ht="12.75">
      <c r="A888" t="str">
        <f>"6900541A91"</f>
        <v>6900541A91</v>
      </c>
      <c r="B888" t="str">
        <f>"02406911202"</f>
        <v>02406911202</v>
      </c>
      <c r="C888" t="s">
        <v>13</v>
      </c>
      <c r="D888" t="s">
        <v>30</v>
      </c>
      <c r="E888" t="s">
        <v>1082</v>
      </c>
      <c r="F888" t="s">
        <v>32</v>
      </c>
      <c r="G888" t="str">
        <f>"00429130586"</f>
        <v>00429130586</v>
      </c>
      <c r="I888" t="s">
        <v>1083</v>
      </c>
      <c r="L888" t="s">
        <v>34</v>
      </c>
      <c r="M888">
        <v>4104.6</v>
      </c>
      <c r="P888">
        <v>4104.6</v>
      </c>
      <c r="AA888" t="s">
        <v>1084</v>
      </c>
      <c r="AB888" t="s">
        <v>1085</v>
      </c>
      <c r="AC888" t="s">
        <v>1086</v>
      </c>
    </row>
    <row r="889" spans="1:29" ht="12.75">
      <c r="A889" t="str">
        <f>"6900541A91"</f>
        <v>6900541A91</v>
      </c>
      <c r="B889" t="str">
        <f>"02406911202"</f>
        <v>02406911202</v>
      </c>
      <c r="C889" t="s">
        <v>13</v>
      </c>
      <c r="D889" t="s">
        <v>30</v>
      </c>
      <c r="E889" t="s">
        <v>1082</v>
      </c>
      <c r="F889" t="s">
        <v>32</v>
      </c>
      <c r="G889" t="str">
        <f>"08056040690"</f>
        <v>08056040690</v>
      </c>
      <c r="I889" t="s">
        <v>1087</v>
      </c>
      <c r="L889" t="s">
        <v>34</v>
      </c>
      <c r="M889">
        <v>4104.6</v>
      </c>
      <c r="P889">
        <v>4104.6</v>
      </c>
      <c r="AA889" t="s">
        <v>1084</v>
      </c>
      <c r="AB889" t="s">
        <v>1085</v>
      </c>
      <c r="AC889" t="s">
        <v>1086</v>
      </c>
    </row>
    <row r="890" spans="1:29" ht="12.75">
      <c r="A890" t="str">
        <f>"6900541A91"</f>
        <v>6900541A91</v>
      </c>
      <c r="B890" t="str">
        <f>"02406911202"</f>
        <v>02406911202</v>
      </c>
      <c r="C890" t="s">
        <v>13</v>
      </c>
      <c r="D890" t="s">
        <v>30</v>
      </c>
      <c r="E890" t="s">
        <v>1082</v>
      </c>
      <c r="F890" t="s">
        <v>32</v>
      </c>
      <c r="G890" t="str">
        <f>"13224141005"</f>
        <v>13224141005</v>
      </c>
      <c r="I890" t="s">
        <v>1088</v>
      </c>
      <c r="L890" t="s">
        <v>34</v>
      </c>
      <c r="M890">
        <v>4104.6</v>
      </c>
      <c r="P890">
        <v>4104.6</v>
      </c>
      <c r="AA890" t="s">
        <v>1084</v>
      </c>
      <c r="AB890" t="s">
        <v>1085</v>
      </c>
      <c r="AC890" t="s">
        <v>1086</v>
      </c>
    </row>
    <row r="891" spans="1:29" ht="12.75">
      <c r="A891" t="str">
        <f>"6900541A91"</f>
        <v>6900541A91</v>
      </c>
      <c r="B891" t="str">
        <f>"02406911202"</f>
        <v>02406911202</v>
      </c>
      <c r="C891" t="s">
        <v>13</v>
      </c>
      <c r="D891" t="s">
        <v>30</v>
      </c>
      <c r="E891" t="s">
        <v>1082</v>
      </c>
      <c r="F891" t="s">
        <v>32</v>
      </c>
      <c r="G891" t="str">
        <f>"01233600939"</f>
        <v>01233600939</v>
      </c>
      <c r="I891" t="s">
        <v>1089</v>
      </c>
      <c r="L891" t="s">
        <v>34</v>
      </c>
      <c r="M891">
        <v>4104.6</v>
      </c>
      <c r="P891">
        <v>4104.6</v>
      </c>
      <c r="AA891" t="s">
        <v>1084</v>
      </c>
      <c r="AB891" t="s">
        <v>1085</v>
      </c>
      <c r="AC891" t="s">
        <v>1086</v>
      </c>
    </row>
    <row r="892" spans="1:29" ht="12.75">
      <c r="A892" t="str">
        <f>"6900541A91"</f>
        <v>6900541A91</v>
      </c>
      <c r="B892" t="str">
        <f>"02406911202"</f>
        <v>02406911202</v>
      </c>
      <c r="C892" t="s">
        <v>13</v>
      </c>
      <c r="D892" t="s">
        <v>30</v>
      </c>
      <c r="E892" t="s">
        <v>1082</v>
      </c>
      <c r="F892" t="s">
        <v>32</v>
      </c>
      <c r="G892" t="str">
        <f>"10209790152"</f>
        <v>10209790152</v>
      </c>
      <c r="I892" t="s">
        <v>1090</v>
      </c>
      <c r="L892" t="s">
        <v>34</v>
      </c>
      <c r="M892">
        <v>4104.6</v>
      </c>
      <c r="P892">
        <v>4104.6</v>
      </c>
      <c r="AA892" t="s">
        <v>1084</v>
      </c>
      <c r="AB892" t="s">
        <v>1085</v>
      </c>
      <c r="AC892" t="s">
        <v>1086</v>
      </c>
    </row>
    <row r="893" spans="1:29" ht="12.75">
      <c r="A893" t="str">
        <f>"6900541A91"</f>
        <v>6900541A91</v>
      </c>
      <c r="B893" t="str">
        <f>"02406911202"</f>
        <v>02406911202</v>
      </c>
      <c r="C893" t="s">
        <v>13</v>
      </c>
      <c r="D893" t="s">
        <v>30</v>
      </c>
      <c r="E893" t="s">
        <v>1082</v>
      </c>
      <c r="F893" t="s">
        <v>32</v>
      </c>
      <c r="G893" t="str">
        <f>"00777910159"</f>
        <v>00777910159</v>
      </c>
      <c r="I893" t="s">
        <v>647</v>
      </c>
      <c r="L893" t="s">
        <v>34</v>
      </c>
      <c r="M893">
        <v>4104.6</v>
      </c>
      <c r="P893">
        <v>4104.6</v>
      </c>
      <c r="AA893" t="s">
        <v>1084</v>
      </c>
      <c r="AB893" t="s">
        <v>1085</v>
      </c>
      <c r="AC893" t="s">
        <v>1086</v>
      </c>
    </row>
    <row r="894" spans="1:29" ht="12.75">
      <c r="A894" t="str">
        <f>"6814635EBO"</f>
        <v>6814635EBO</v>
      </c>
      <c r="B894" t="str">
        <f>"02406911202"</f>
        <v>02406911202</v>
      </c>
      <c r="C894" t="s">
        <v>13</v>
      </c>
      <c r="D894" t="s">
        <v>30</v>
      </c>
      <c r="E894" t="s">
        <v>1091</v>
      </c>
      <c r="F894" t="s">
        <v>32</v>
      </c>
      <c r="G894" t="str">
        <f>"03002830366"</f>
        <v>03002830366</v>
      </c>
      <c r="I894" t="s">
        <v>654</v>
      </c>
      <c r="L894" t="s">
        <v>34</v>
      </c>
      <c r="M894">
        <v>36000</v>
      </c>
      <c r="O894">
        <v>36000</v>
      </c>
      <c r="AC894" t="s">
        <v>954</v>
      </c>
    </row>
    <row r="895" spans="1:29" ht="12.75">
      <c r="A895" t="str">
        <f>"6814558F25"</f>
        <v>6814558F25</v>
      </c>
      <c r="B895" t="str">
        <f>"02406911202"</f>
        <v>02406911202</v>
      </c>
      <c r="C895" t="s">
        <v>13</v>
      </c>
      <c r="D895" t="s">
        <v>30</v>
      </c>
      <c r="E895" t="s">
        <v>1092</v>
      </c>
      <c r="F895" t="s">
        <v>32</v>
      </c>
      <c r="G895" t="str">
        <f>"02626370213"</f>
        <v>02626370213</v>
      </c>
      <c r="I895" t="s">
        <v>1093</v>
      </c>
      <c r="L895" t="s">
        <v>34</v>
      </c>
      <c r="M895">
        <v>31482</v>
      </c>
      <c r="O895">
        <v>31482</v>
      </c>
      <c r="AC895" t="s">
        <v>1094</v>
      </c>
    </row>
    <row r="896" spans="1:29" ht="12.75">
      <c r="A896" t="str">
        <f>"6934793438"</f>
        <v>6934793438</v>
      </c>
      <c r="B896" t="str">
        <f>"02406911202"</f>
        <v>02406911202</v>
      </c>
      <c r="C896" t="s">
        <v>13</v>
      </c>
      <c r="D896" t="s">
        <v>30</v>
      </c>
      <c r="E896" t="s">
        <v>1095</v>
      </c>
      <c r="F896" t="s">
        <v>32</v>
      </c>
      <c r="G896" t="str">
        <f>"02401440157"</f>
        <v>02401440157</v>
      </c>
      <c r="I896" t="s">
        <v>382</v>
      </c>
      <c r="L896" t="s">
        <v>34</v>
      </c>
      <c r="M896">
        <v>402249.49</v>
      </c>
      <c r="N896">
        <v>329812.3</v>
      </c>
      <c r="O896">
        <v>6162.17</v>
      </c>
      <c r="P896">
        <v>391.5</v>
      </c>
      <c r="Q896">
        <v>65883.52</v>
      </c>
      <c r="AC896" t="s">
        <v>1081</v>
      </c>
    </row>
    <row r="897" spans="1:29" ht="12.75">
      <c r="A897" t="str">
        <f>"6934827048"</f>
        <v>6934827048</v>
      </c>
      <c r="B897" t="str">
        <f>"02406911202"</f>
        <v>02406911202</v>
      </c>
      <c r="C897" t="s">
        <v>13</v>
      </c>
      <c r="D897" t="s">
        <v>30</v>
      </c>
      <c r="E897" t="s">
        <v>1096</v>
      </c>
      <c r="F897" t="s">
        <v>32</v>
      </c>
      <c r="G897" t="str">
        <f>"11667890153"</f>
        <v>11667890153</v>
      </c>
      <c r="I897" t="s">
        <v>383</v>
      </c>
      <c r="L897" t="s">
        <v>34</v>
      </c>
      <c r="M897">
        <v>138762.04</v>
      </c>
      <c r="N897">
        <v>112171.67</v>
      </c>
      <c r="O897">
        <v>15932.77</v>
      </c>
      <c r="P897">
        <v>113.4</v>
      </c>
      <c r="Q897">
        <v>10544.2</v>
      </c>
      <c r="AC897" t="s">
        <v>1081</v>
      </c>
    </row>
    <row r="898" spans="1:29" ht="12.75">
      <c r="A898" t="str">
        <f>"6934832467"</f>
        <v>6934832467</v>
      </c>
      <c r="B898" t="str">
        <f>"02406911202"</f>
        <v>02406911202</v>
      </c>
      <c r="C898" t="s">
        <v>13</v>
      </c>
      <c r="D898" t="s">
        <v>30</v>
      </c>
      <c r="E898" t="s">
        <v>1097</v>
      </c>
      <c r="F898" t="s">
        <v>32</v>
      </c>
      <c r="G898" t="str">
        <f>"10634380017"</f>
        <v>10634380017</v>
      </c>
      <c r="I898" t="s">
        <v>384</v>
      </c>
      <c r="L898" t="s">
        <v>34</v>
      </c>
      <c r="M898">
        <v>10030</v>
      </c>
      <c r="N898">
        <v>9562.5</v>
      </c>
      <c r="O898">
        <v>212.5</v>
      </c>
      <c r="Q898">
        <v>255</v>
      </c>
      <c r="AC898" t="s">
        <v>1081</v>
      </c>
    </row>
    <row r="899" spans="1:29" ht="12.75">
      <c r="A899" t="str">
        <f>"6847726A40"</f>
        <v>6847726A40</v>
      </c>
      <c r="B899" t="str">
        <f>"02406911202"</f>
        <v>02406911202</v>
      </c>
      <c r="C899" t="s">
        <v>13</v>
      </c>
      <c r="D899" t="s">
        <v>30</v>
      </c>
      <c r="E899" t="s">
        <v>1098</v>
      </c>
      <c r="F899" t="s">
        <v>253</v>
      </c>
      <c r="G899" t="str">
        <f>"01498810280"</f>
        <v>01498810280</v>
      </c>
      <c r="I899" t="s">
        <v>1099</v>
      </c>
      <c r="L899" t="s">
        <v>34</v>
      </c>
      <c r="M899">
        <v>30300</v>
      </c>
      <c r="Q899">
        <v>30300</v>
      </c>
      <c r="AC899" t="s">
        <v>1100</v>
      </c>
    </row>
    <row r="900" spans="1:29" ht="12.75">
      <c r="A900" t="str">
        <f>"6847726A40"</f>
        <v>6847726A40</v>
      </c>
      <c r="B900" t="str">
        <f>"02406911202"</f>
        <v>02406911202</v>
      </c>
      <c r="C900" t="s">
        <v>13</v>
      </c>
      <c r="D900" t="s">
        <v>30</v>
      </c>
      <c r="E900" t="s">
        <v>1098</v>
      </c>
      <c r="F900" t="s">
        <v>253</v>
      </c>
      <c r="G900" t="str">
        <f>"02704520341"</f>
        <v>02704520341</v>
      </c>
      <c r="I900" t="s">
        <v>1101</v>
      </c>
      <c r="L900" t="s">
        <v>91</v>
      </c>
      <c r="AC900" t="s">
        <v>1100</v>
      </c>
    </row>
    <row r="901" spans="1:29" ht="12.75">
      <c r="A901" t="str">
        <f>"6847726A40"</f>
        <v>6847726A40</v>
      </c>
      <c r="B901" t="str">
        <f>"02406911202"</f>
        <v>02406911202</v>
      </c>
      <c r="C901" t="s">
        <v>13</v>
      </c>
      <c r="D901" t="s">
        <v>30</v>
      </c>
      <c r="E901" t="s">
        <v>1098</v>
      </c>
      <c r="F901" t="s">
        <v>253</v>
      </c>
      <c r="G901" t="str">
        <f>"01115150540"</f>
        <v>01115150540</v>
      </c>
      <c r="I901" t="s">
        <v>1102</v>
      </c>
      <c r="L901" t="s">
        <v>91</v>
      </c>
      <c r="AC901" t="s">
        <v>1100</v>
      </c>
    </row>
    <row r="902" spans="1:29" ht="12.75">
      <c r="A902" t="str">
        <f>"6847726A40"</f>
        <v>6847726A40</v>
      </c>
      <c r="B902" t="str">
        <f>"02406911202"</f>
        <v>02406911202</v>
      </c>
      <c r="C902" t="s">
        <v>13</v>
      </c>
      <c r="D902" t="s">
        <v>30</v>
      </c>
      <c r="E902" t="s">
        <v>1098</v>
      </c>
      <c r="F902" t="s">
        <v>253</v>
      </c>
      <c r="G902" t="str">
        <f>"00615700374"</f>
        <v>00615700374</v>
      </c>
      <c r="I902" t="s">
        <v>93</v>
      </c>
      <c r="L902" t="s">
        <v>91</v>
      </c>
      <c r="AC902" t="s">
        <v>1100</v>
      </c>
    </row>
    <row r="903" spans="1:29" ht="12.75">
      <c r="A903" t="str">
        <f>"6847726A40"</f>
        <v>6847726A40</v>
      </c>
      <c r="B903" t="str">
        <f>"02406911202"</f>
        <v>02406911202</v>
      </c>
      <c r="C903" t="s">
        <v>13</v>
      </c>
      <c r="D903" t="s">
        <v>30</v>
      </c>
      <c r="E903" t="s">
        <v>1098</v>
      </c>
      <c r="F903" t="s">
        <v>253</v>
      </c>
      <c r="G903" t="str">
        <f>"00197370281"</f>
        <v>00197370281</v>
      </c>
      <c r="I903" t="s">
        <v>1103</v>
      </c>
      <c r="L903" t="s">
        <v>91</v>
      </c>
      <c r="AC903" t="s">
        <v>1100</v>
      </c>
    </row>
    <row r="904" spans="1:29" ht="12.75">
      <c r="A904" t="str">
        <f>"6909376572"</f>
        <v>6909376572</v>
      </c>
      <c r="B904" t="str">
        <f>"02406911202"</f>
        <v>02406911202</v>
      </c>
      <c r="C904" t="s">
        <v>13</v>
      </c>
      <c r="D904" t="s">
        <v>30</v>
      </c>
      <c r="E904" t="s">
        <v>1104</v>
      </c>
      <c r="F904" t="s">
        <v>32</v>
      </c>
      <c r="G904" t="str">
        <f>"02119100358"</f>
        <v>02119100358</v>
      </c>
      <c r="I904" t="s">
        <v>1105</v>
      </c>
      <c r="L904" t="s">
        <v>34</v>
      </c>
      <c r="M904">
        <v>5000</v>
      </c>
      <c r="O904">
        <v>5000</v>
      </c>
      <c r="AA904" t="s">
        <v>1106</v>
      </c>
      <c r="AB904" t="s">
        <v>180</v>
      </c>
      <c r="AC904" t="s">
        <v>1107</v>
      </c>
    </row>
    <row r="905" spans="1:29" ht="12.75">
      <c r="A905" t="str">
        <f>"6808662D9D"</f>
        <v>6808662D9D</v>
      </c>
      <c r="B905" t="str">
        <f>"02406911202"</f>
        <v>02406911202</v>
      </c>
      <c r="C905" t="s">
        <v>13</v>
      </c>
      <c r="D905" t="s">
        <v>30</v>
      </c>
      <c r="E905" t="s">
        <v>1108</v>
      </c>
      <c r="F905" t="s">
        <v>32</v>
      </c>
      <c r="G905" t="str">
        <f>"00615700374"</f>
        <v>00615700374</v>
      </c>
      <c r="I905" t="s">
        <v>93</v>
      </c>
      <c r="L905" t="s">
        <v>34</v>
      </c>
      <c r="M905">
        <v>12200</v>
      </c>
      <c r="P905">
        <v>12200</v>
      </c>
      <c r="AC905" t="s">
        <v>1109</v>
      </c>
    </row>
    <row r="906" spans="1:29" ht="12.75">
      <c r="A906" t="str">
        <f>"6808662D9D"</f>
        <v>6808662D9D</v>
      </c>
      <c r="B906" t="str">
        <f>"02406911202"</f>
        <v>02406911202</v>
      </c>
      <c r="C906" t="s">
        <v>13</v>
      </c>
      <c r="D906" t="s">
        <v>30</v>
      </c>
      <c r="E906" t="s">
        <v>1108</v>
      </c>
      <c r="F906" t="s">
        <v>32</v>
      </c>
      <c r="G906" t="str">
        <f>"08864080158"</f>
        <v>08864080158</v>
      </c>
      <c r="I906" t="s">
        <v>138</v>
      </c>
      <c r="L906" t="s">
        <v>91</v>
      </c>
      <c r="AC906" t="s">
        <v>1109</v>
      </c>
    </row>
    <row r="907" spans="1:29" ht="12.75">
      <c r="A907" t="str">
        <f>"68865733D1"</f>
        <v>68865733D1</v>
      </c>
      <c r="B907" t="str">
        <f>"02406911202"</f>
        <v>02406911202</v>
      </c>
      <c r="C907" t="s">
        <v>13</v>
      </c>
      <c r="D907" t="s">
        <v>30</v>
      </c>
      <c r="E907" t="s">
        <v>1110</v>
      </c>
      <c r="F907" t="s">
        <v>408</v>
      </c>
      <c r="AC907" t="s">
        <v>884</v>
      </c>
    </row>
    <row r="908" spans="1:29" ht="12.75">
      <c r="A908" t="str">
        <f>"6896261E98"</f>
        <v>6896261E98</v>
      </c>
      <c r="B908" t="str">
        <f>"02406911202"</f>
        <v>02406911202</v>
      </c>
      <c r="C908" t="s">
        <v>13</v>
      </c>
      <c r="D908" t="s">
        <v>30</v>
      </c>
      <c r="E908" t="s">
        <v>1111</v>
      </c>
      <c r="F908" t="s">
        <v>32</v>
      </c>
      <c r="G908" t="str">
        <f>"02704520341"</f>
        <v>02704520341</v>
      </c>
      <c r="I908" t="s">
        <v>1101</v>
      </c>
      <c r="L908" t="s">
        <v>91</v>
      </c>
      <c r="AC908" t="s">
        <v>1112</v>
      </c>
    </row>
    <row r="909" spans="1:29" ht="12.75">
      <c r="A909" t="str">
        <f>"6896261E98"</f>
        <v>6896261E98</v>
      </c>
      <c r="B909" t="str">
        <f>"02406911202"</f>
        <v>02406911202</v>
      </c>
      <c r="C909" t="s">
        <v>13</v>
      </c>
      <c r="D909" t="s">
        <v>30</v>
      </c>
      <c r="E909" t="s">
        <v>1111</v>
      </c>
      <c r="F909" t="s">
        <v>32</v>
      </c>
      <c r="G909" t="str">
        <f>"02285440398"</f>
        <v>02285440398</v>
      </c>
      <c r="I909" t="s">
        <v>1113</v>
      </c>
      <c r="L909" t="s">
        <v>34</v>
      </c>
      <c r="M909">
        <v>29900</v>
      </c>
      <c r="Q909">
        <v>29900</v>
      </c>
      <c r="AC909" t="s">
        <v>1112</v>
      </c>
    </row>
    <row r="910" spans="1:29" ht="12.75">
      <c r="A910" t="str">
        <f>"6896261E98"</f>
        <v>6896261E98</v>
      </c>
      <c r="B910" t="str">
        <f>"02406911202"</f>
        <v>02406911202</v>
      </c>
      <c r="C910" t="s">
        <v>13</v>
      </c>
      <c r="D910" t="s">
        <v>30</v>
      </c>
      <c r="E910" t="s">
        <v>1111</v>
      </c>
      <c r="F910" t="s">
        <v>32</v>
      </c>
      <c r="G910" t="str">
        <f>"04222830269"</f>
        <v>04222830269</v>
      </c>
      <c r="I910" t="s">
        <v>1114</v>
      </c>
      <c r="L910" t="s">
        <v>91</v>
      </c>
      <c r="AC910" t="s">
        <v>1112</v>
      </c>
    </row>
    <row r="911" spans="1:29" ht="12.75">
      <c r="A911" t="str">
        <f>"6896261E98"</f>
        <v>6896261E98</v>
      </c>
      <c r="B911" t="str">
        <f>"02406911202"</f>
        <v>02406911202</v>
      </c>
      <c r="C911" t="s">
        <v>13</v>
      </c>
      <c r="D911" t="s">
        <v>30</v>
      </c>
      <c r="E911" t="s">
        <v>1111</v>
      </c>
      <c r="F911" t="s">
        <v>32</v>
      </c>
      <c r="G911" t="str">
        <f>"NGLGNN66B28F257N"</f>
        <v>NGLGNN66B28F257N</v>
      </c>
      <c r="I911" t="s">
        <v>1115</v>
      </c>
      <c r="L911" t="s">
        <v>91</v>
      </c>
      <c r="AC911" t="s">
        <v>1112</v>
      </c>
    </row>
    <row r="912" spans="1:29" ht="12.75">
      <c r="A912" t="str">
        <f>"6896261E98"</f>
        <v>6896261E98</v>
      </c>
      <c r="B912" t="str">
        <f>"02406911202"</f>
        <v>02406911202</v>
      </c>
      <c r="C912" t="s">
        <v>13</v>
      </c>
      <c r="D912" t="s">
        <v>30</v>
      </c>
      <c r="E912" t="s">
        <v>1111</v>
      </c>
      <c r="F912" t="s">
        <v>32</v>
      </c>
      <c r="G912" t="str">
        <f>"04133100372"</f>
        <v>04133100372</v>
      </c>
      <c r="I912" t="s">
        <v>1116</v>
      </c>
      <c r="L912" t="s">
        <v>91</v>
      </c>
      <c r="AC912" t="s">
        <v>1112</v>
      </c>
    </row>
    <row r="913" spans="1:29" ht="12.75">
      <c r="A913" t="str">
        <f>"678150856F"</f>
        <v>678150856F</v>
      </c>
      <c r="B913" t="str">
        <f>"02406911202"</f>
        <v>02406911202</v>
      </c>
      <c r="C913" t="s">
        <v>13</v>
      </c>
      <c r="D913" t="s">
        <v>30</v>
      </c>
      <c r="E913" t="s">
        <v>1117</v>
      </c>
      <c r="F913" t="s">
        <v>408</v>
      </c>
      <c r="G913" t="str">
        <f>"02503150373"</f>
        <v>02503150373</v>
      </c>
      <c r="I913" t="s">
        <v>613</v>
      </c>
      <c r="L913" t="s">
        <v>34</v>
      </c>
      <c r="M913">
        <v>48854</v>
      </c>
      <c r="O913">
        <v>14631</v>
      </c>
      <c r="Q913">
        <v>34223</v>
      </c>
      <c r="AA913" t="s">
        <v>1118</v>
      </c>
      <c r="AB913" t="s">
        <v>1119</v>
      </c>
      <c r="AC913" t="s">
        <v>1052</v>
      </c>
    </row>
    <row r="914" spans="1:29" ht="12.75">
      <c r="A914" t="str">
        <f>"678150856F"</f>
        <v>678150856F</v>
      </c>
      <c r="B914" t="str">
        <f>"02406911202"</f>
        <v>02406911202</v>
      </c>
      <c r="C914" t="s">
        <v>13</v>
      </c>
      <c r="D914" t="s">
        <v>30</v>
      </c>
      <c r="E914" t="s">
        <v>1117</v>
      </c>
      <c r="F914" t="s">
        <v>408</v>
      </c>
      <c r="G914" t="str">
        <f>"02285440398"</f>
        <v>02285440398</v>
      </c>
      <c r="I914" t="s">
        <v>1113</v>
      </c>
      <c r="L914" t="s">
        <v>91</v>
      </c>
      <c r="AC914" t="s">
        <v>1052</v>
      </c>
    </row>
    <row r="915" spans="1:29" ht="12.75">
      <c r="A915" t="str">
        <f>"678150856F"</f>
        <v>678150856F</v>
      </c>
      <c r="B915" t="str">
        <f>"02406911202"</f>
        <v>02406911202</v>
      </c>
      <c r="C915" t="s">
        <v>13</v>
      </c>
      <c r="D915" t="s">
        <v>30</v>
      </c>
      <c r="E915" t="s">
        <v>1117</v>
      </c>
      <c r="F915" t="s">
        <v>408</v>
      </c>
      <c r="G915" t="str">
        <f>"03912680372"</f>
        <v>03912680372</v>
      </c>
      <c r="I915" t="s">
        <v>186</v>
      </c>
      <c r="L915" t="s">
        <v>91</v>
      </c>
      <c r="AC915" t="s">
        <v>1052</v>
      </c>
    </row>
    <row r="916" spans="1:29" ht="12.75">
      <c r="A916" t="str">
        <f>"678150856F"</f>
        <v>678150856F</v>
      </c>
      <c r="B916" t="str">
        <f>"02406911202"</f>
        <v>02406911202</v>
      </c>
      <c r="C916" t="s">
        <v>13</v>
      </c>
      <c r="D916" t="s">
        <v>30</v>
      </c>
      <c r="E916" t="s">
        <v>1117</v>
      </c>
      <c r="F916" t="s">
        <v>408</v>
      </c>
      <c r="G916" t="str">
        <f>"00474010345"</f>
        <v>00474010345</v>
      </c>
      <c r="I916" t="s">
        <v>185</v>
      </c>
      <c r="L916" t="s">
        <v>91</v>
      </c>
      <c r="AC916" t="s">
        <v>1052</v>
      </c>
    </row>
    <row r="917" spans="1:29" ht="12.75">
      <c r="A917" t="str">
        <f>"678150856F"</f>
        <v>678150856F</v>
      </c>
      <c r="B917" t="str">
        <f>"02406911202"</f>
        <v>02406911202</v>
      </c>
      <c r="C917" t="s">
        <v>13</v>
      </c>
      <c r="D917" t="s">
        <v>30</v>
      </c>
      <c r="E917" t="s">
        <v>1117</v>
      </c>
      <c r="F917" t="s">
        <v>408</v>
      </c>
      <c r="G917" t="str">
        <f>"03203781202"</f>
        <v>03203781202</v>
      </c>
      <c r="I917" t="s">
        <v>1120</v>
      </c>
      <c r="L917" t="s">
        <v>91</v>
      </c>
      <c r="AC917" t="s">
        <v>1052</v>
      </c>
    </row>
    <row r="918" spans="1:29" ht="12.75">
      <c r="A918" t="str">
        <f>"6708695E3C"</f>
        <v>6708695E3C</v>
      </c>
      <c r="B918" t="str">
        <f>"02406911202"</f>
        <v>02406911202</v>
      </c>
      <c r="C918" t="s">
        <v>13</v>
      </c>
      <c r="D918" t="s">
        <v>30</v>
      </c>
      <c r="E918" t="s">
        <v>1121</v>
      </c>
      <c r="F918" t="s">
        <v>408</v>
      </c>
      <c r="AC918" t="s">
        <v>1074</v>
      </c>
    </row>
    <row r="919" spans="1:29" ht="12.75">
      <c r="A919" t="str">
        <f>"6872005DE9"</f>
        <v>6872005DE9</v>
      </c>
      <c r="B919" t="str">
        <f>"02406911202"</f>
        <v>02406911202</v>
      </c>
      <c r="C919" t="s">
        <v>13</v>
      </c>
      <c r="D919" t="s">
        <v>30</v>
      </c>
      <c r="E919" t="s">
        <v>1122</v>
      </c>
      <c r="F919" t="s">
        <v>32</v>
      </c>
      <c r="G919" t="str">
        <f>"07599490963"</f>
        <v>07599490963</v>
      </c>
      <c r="I919" t="s">
        <v>1123</v>
      </c>
      <c r="L919" t="s">
        <v>34</v>
      </c>
      <c r="M919">
        <v>197000</v>
      </c>
      <c r="O919">
        <v>197000</v>
      </c>
      <c r="AC919" t="s">
        <v>1124</v>
      </c>
    </row>
    <row r="920" spans="1:29" ht="12.75">
      <c r="A920" t="str">
        <f>"6872005DE9"</f>
        <v>6872005DE9</v>
      </c>
      <c r="B920" t="str">
        <f>"02406911202"</f>
        <v>02406911202</v>
      </c>
      <c r="C920" t="s">
        <v>13</v>
      </c>
      <c r="D920" t="s">
        <v>30</v>
      </c>
      <c r="E920" t="s">
        <v>1122</v>
      </c>
      <c r="F920" t="s">
        <v>32</v>
      </c>
      <c r="G920" t="str">
        <f>"13144290155"</f>
        <v>13144290155</v>
      </c>
      <c r="I920" t="s">
        <v>101</v>
      </c>
      <c r="L920" t="s">
        <v>91</v>
      </c>
      <c r="AC920" t="s">
        <v>1124</v>
      </c>
    </row>
    <row r="921" spans="1:29" ht="12.75">
      <c r="A921" t="str">
        <f>"6872005DE9"</f>
        <v>6872005DE9</v>
      </c>
      <c r="B921" t="str">
        <f>"02406911202"</f>
        <v>02406911202</v>
      </c>
      <c r="C921" t="s">
        <v>13</v>
      </c>
      <c r="D921" t="s">
        <v>30</v>
      </c>
      <c r="E921" t="s">
        <v>1122</v>
      </c>
      <c r="F921" t="s">
        <v>32</v>
      </c>
      <c r="G921" t="str">
        <f>"03222390159"</f>
        <v>03222390159</v>
      </c>
      <c r="I921" t="s">
        <v>874</v>
      </c>
      <c r="L921" t="s">
        <v>91</v>
      </c>
      <c r="AC921" t="s">
        <v>1124</v>
      </c>
    </row>
    <row r="922" spans="1:29" ht="12.75">
      <c r="A922" t="str">
        <f>"6872005DE9"</f>
        <v>6872005DE9</v>
      </c>
      <c r="B922" t="str">
        <f>"02406911202"</f>
        <v>02406911202</v>
      </c>
      <c r="C922" t="s">
        <v>13</v>
      </c>
      <c r="D922" t="s">
        <v>30</v>
      </c>
      <c r="E922" t="s">
        <v>1122</v>
      </c>
      <c r="F922" t="s">
        <v>32</v>
      </c>
      <c r="G922" t="str">
        <f>"00157770363"</f>
        <v>00157770363</v>
      </c>
      <c r="I922" t="s">
        <v>783</v>
      </c>
      <c r="L922" t="s">
        <v>91</v>
      </c>
      <c r="AC922" t="s">
        <v>1124</v>
      </c>
    </row>
    <row r="923" spans="1:29" ht="12.75">
      <c r="A923" t="str">
        <f>"6872005DE9"</f>
        <v>6872005DE9</v>
      </c>
      <c r="B923" t="str">
        <f>"02406911202"</f>
        <v>02406911202</v>
      </c>
      <c r="C923" t="s">
        <v>13</v>
      </c>
      <c r="D923" t="s">
        <v>30</v>
      </c>
      <c r="E923" t="s">
        <v>1122</v>
      </c>
      <c r="F923" t="s">
        <v>32</v>
      </c>
      <c r="G923" t="str">
        <f>"05688870483"</f>
        <v>05688870483</v>
      </c>
      <c r="I923" t="s">
        <v>96</v>
      </c>
      <c r="L923" t="s">
        <v>91</v>
      </c>
      <c r="AC923" t="s">
        <v>1124</v>
      </c>
    </row>
    <row r="924" spans="1:29" ht="12.75">
      <c r="A924" t="str">
        <f>"68927014CD"</f>
        <v>68927014CD</v>
      </c>
      <c r="B924" t="str">
        <f>"02406911202"</f>
        <v>02406911202</v>
      </c>
      <c r="C924" t="s">
        <v>13</v>
      </c>
      <c r="D924" t="s">
        <v>30</v>
      </c>
      <c r="E924" t="s">
        <v>1125</v>
      </c>
      <c r="F924" t="s">
        <v>188</v>
      </c>
      <c r="AC924" t="s">
        <v>816</v>
      </c>
    </row>
    <row r="925" spans="1:29" ht="12.75">
      <c r="A925" t="str">
        <f>"68927079BF"</f>
        <v>68927079BF</v>
      </c>
      <c r="B925" t="str">
        <f>"02406911202"</f>
        <v>02406911202</v>
      </c>
      <c r="C925" t="s">
        <v>13</v>
      </c>
      <c r="D925" t="s">
        <v>30</v>
      </c>
      <c r="E925" t="s">
        <v>1126</v>
      </c>
      <c r="F925" t="s">
        <v>188</v>
      </c>
      <c r="AC925" t="s">
        <v>816</v>
      </c>
    </row>
    <row r="926" spans="1:29" ht="12.75">
      <c r="A926" t="str">
        <f>"689271612F"</f>
        <v>689271612F</v>
      </c>
      <c r="B926" t="str">
        <f>"02406911202"</f>
        <v>02406911202</v>
      </c>
      <c r="C926" t="s">
        <v>13</v>
      </c>
      <c r="D926" t="s">
        <v>30</v>
      </c>
      <c r="E926" t="s">
        <v>1127</v>
      </c>
      <c r="F926" t="s">
        <v>188</v>
      </c>
      <c r="AA926" t="s">
        <v>816</v>
      </c>
      <c r="AC926" t="s">
        <v>816</v>
      </c>
    </row>
    <row r="927" spans="1:29" ht="12.75">
      <c r="A927" t="str">
        <f>"689272696D"</f>
        <v>689272696D</v>
      </c>
      <c r="B927" t="str">
        <f>"02406911202"</f>
        <v>02406911202</v>
      </c>
      <c r="C927" t="s">
        <v>13</v>
      </c>
      <c r="D927" t="s">
        <v>30</v>
      </c>
      <c r="E927" t="s">
        <v>1128</v>
      </c>
      <c r="F927" t="s">
        <v>188</v>
      </c>
      <c r="AC927" t="s">
        <v>816</v>
      </c>
    </row>
    <row r="928" spans="1:29" ht="12.75">
      <c r="A928" t="str">
        <f>"6892738356"</f>
        <v>6892738356</v>
      </c>
      <c r="B928" t="str">
        <f>"02406911202"</f>
        <v>02406911202</v>
      </c>
      <c r="C928" t="s">
        <v>13</v>
      </c>
      <c r="D928" t="s">
        <v>30</v>
      </c>
      <c r="E928" t="s">
        <v>1129</v>
      </c>
      <c r="F928" t="s">
        <v>188</v>
      </c>
      <c r="AC928" t="s">
        <v>816</v>
      </c>
    </row>
    <row r="929" spans="1:29" ht="12.75">
      <c r="A929" t="str">
        <f>"689274591B"</f>
        <v>689274591B</v>
      </c>
      <c r="B929" t="str">
        <f>"02406911202"</f>
        <v>02406911202</v>
      </c>
      <c r="C929" t="s">
        <v>13</v>
      </c>
      <c r="D929" t="s">
        <v>30</v>
      </c>
      <c r="E929" t="s">
        <v>1130</v>
      </c>
      <c r="F929" t="s">
        <v>188</v>
      </c>
      <c r="AA929" t="s">
        <v>816</v>
      </c>
      <c r="AC929" t="s">
        <v>816</v>
      </c>
    </row>
    <row r="930" spans="1:29" ht="12.75">
      <c r="A930" t="str">
        <f>"6892751E0D"</f>
        <v>6892751E0D</v>
      </c>
      <c r="B930" t="str">
        <f>"02406911202"</f>
        <v>02406911202</v>
      </c>
      <c r="C930" t="s">
        <v>13</v>
      </c>
      <c r="D930" t="s">
        <v>30</v>
      </c>
      <c r="E930" t="s">
        <v>1131</v>
      </c>
      <c r="F930" t="s">
        <v>188</v>
      </c>
      <c r="AA930" t="s">
        <v>816</v>
      </c>
      <c r="AC930" t="s">
        <v>816</v>
      </c>
    </row>
    <row r="931" spans="1:29" ht="12.75">
      <c r="A931" t="str">
        <f>"6892761650"</f>
        <v>6892761650</v>
      </c>
      <c r="B931" t="str">
        <f>"02406911202"</f>
        <v>02406911202</v>
      </c>
      <c r="C931" t="s">
        <v>13</v>
      </c>
      <c r="D931" t="s">
        <v>30</v>
      </c>
      <c r="E931" t="s">
        <v>1132</v>
      </c>
      <c r="F931" t="s">
        <v>188</v>
      </c>
      <c r="AC931" t="s">
        <v>816</v>
      </c>
    </row>
    <row r="932" spans="1:29" ht="12.75">
      <c r="A932" t="str">
        <f>"6922780AC5"</f>
        <v>6922780AC5</v>
      </c>
      <c r="B932" t="str">
        <f>"02406911202"</f>
        <v>02406911202</v>
      </c>
      <c r="C932" t="s">
        <v>13</v>
      </c>
      <c r="D932" t="s">
        <v>30</v>
      </c>
      <c r="E932" t="s">
        <v>1133</v>
      </c>
      <c r="F932" t="s">
        <v>32</v>
      </c>
      <c r="G932" t="str">
        <f>"02006400960"</f>
        <v>02006400960</v>
      </c>
      <c r="I932" t="s">
        <v>940</v>
      </c>
      <c r="L932" t="s">
        <v>34</v>
      </c>
      <c r="M932">
        <v>1144299.34</v>
      </c>
      <c r="N932">
        <v>994491.17</v>
      </c>
      <c r="Q932">
        <v>149808.17</v>
      </c>
      <c r="AC932" t="s">
        <v>1134</v>
      </c>
    </row>
    <row r="933" spans="1:29" ht="12.75">
      <c r="A933" t="str">
        <f>"6892767B42"</f>
        <v>6892767B42</v>
      </c>
      <c r="B933" t="str">
        <f>"02406911202"</f>
        <v>02406911202</v>
      </c>
      <c r="C933" t="s">
        <v>13</v>
      </c>
      <c r="D933" t="s">
        <v>30</v>
      </c>
      <c r="E933" t="s">
        <v>1135</v>
      </c>
      <c r="F933" t="s">
        <v>188</v>
      </c>
      <c r="AC933" t="s">
        <v>816</v>
      </c>
    </row>
    <row r="934" spans="1:29" ht="12.75">
      <c r="A934" t="str">
        <f>"689277410C"</f>
        <v>689277410C</v>
      </c>
      <c r="B934" t="str">
        <f>"02406911202"</f>
        <v>02406911202</v>
      </c>
      <c r="C934" t="s">
        <v>13</v>
      </c>
      <c r="D934" t="s">
        <v>30</v>
      </c>
      <c r="E934" t="s">
        <v>1136</v>
      </c>
      <c r="F934" t="s">
        <v>188</v>
      </c>
      <c r="AC934" t="s">
        <v>816</v>
      </c>
    </row>
    <row r="935" spans="1:29" ht="12.75">
      <c r="A935" t="str">
        <f>"687362137D"</f>
        <v>687362137D</v>
      </c>
      <c r="B935" t="str">
        <f>"02406911202"</f>
        <v>02406911202</v>
      </c>
      <c r="C935" t="s">
        <v>13</v>
      </c>
      <c r="D935" t="s">
        <v>30</v>
      </c>
      <c r="E935" t="s">
        <v>1137</v>
      </c>
      <c r="F935" t="s">
        <v>408</v>
      </c>
      <c r="AC935" t="s">
        <v>1070</v>
      </c>
    </row>
    <row r="936" spans="1:29" ht="12.75">
      <c r="A936" t="str">
        <f>"6892789D69"</f>
        <v>6892789D69</v>
      </c>
      <c r="B936" t="str">
        <f>"02406911202"</f>
        <v>02406911202</v>
      </c>
      <c r="C936" t="s">
        <v>13</v>
      </c>
      <c r="D936" t="s">
        <v>30</v>
      </c>
      <c r="E936" t="s">
        <v>1138</v>
      </c>
      <c r="F936" t="s">
        <v>188</v>
      </c>
      <c r="AC936" t="s">
        <v>816</v>
      </c>
    </row>
    <row r="937" spans="1:29" ht="12.75">
      <c r="A937" t="str">
        <f>"6892978962"</f>
        <v>6892978962</v>
      </c>
      <c r="B937" t="str">
        <f>"02406911202"</f>
        <v>02406911202</v>
      </c>
      <c r="C937" t="s">
        <v>13</v>
      </c>
      <c r="D937" t="s">
        <v>30</v>
      </c>
      <c r="E937" t="s">
        <v>1139</v>
      </c>
      <c r="F937" t="s">
        <v>188</v>
      </c>
      <c r="AC937" t="s">
        <v>816</v>
      </c>
    </row>
    <row r="938" spans="1:29" ht="12.75">
      <c r="A938" t="str">
        <f>"6800723627"</f>
        <v>6800723627</v>
      </c>
      <c r="B938" t="str">
        <f>"02406911202"</f>
        <v>02406911202</v>
      </c>
      <c r="C938" t="s">
        <v>13</v>
      </c>
      <c r="D938" t="s">
        <v>30</v>
      </c>
      <c r="E938" t="s">
        <v>1140</v>
      </c>
      <c r="F938" t="s">
        <v>32</v>
      </c>
      <c r="G938" t="str">
        <f>"09238800156"</f>
        <v>09238800156</v>
      </c>
      <c r="I938" t="s">
        <v>72</v>
      </c>
      <c r="L938" t="s">
        <v>34</v>
      </c>
      <c r="M938">
        <v>72687.36</v>
      </c>
      <c r="O938">
        <v>72687.36</v>
      </c>
      <c r="AC938" t="s">
        <v>279</v>
      </c>
    </row>
    <row r="939" spans="1:29" ht="12.75">
      <c r="A939" t="str">
        <f>"6893007153"</f>
        <v>6893007153</v>
      </c>
      <c r="B939" t="str">
        <f>"02406911202"</f>
        <v>02406911202</v>
      </c>
      <c r="C939" t="s">
        <v>13</v>
      </c>
      <c r="D939" t="s">
        <v>30</v>
      </c>
      <c r="E939" t="s">
        <v>1141</v>
      </c>
      <c r="F939" t="s">
        <v>188</v>
      </c>
      <c r="AC939" t="s">
        <v>816</v>
      </c>
    </row>
    <row r="940" spans="1:29" ht="12.75">
      <c r="A940" t="str">
        <f>"68930157EB"</f>
        <v>68930157EB</v>
      </c>
      <c r="B940" t="str">
        <f>"02406911202"</f>
        <v>02406911202</v>
      </c>
      <c r="C940" t="s">
        <v>13</v>
      </c>
      <c r="D940" t="s">
        <v>30</v>
      </c>
      <c r="E940" t="s">
        <v>1142</v>
      </c>
      <c r="F940" t="s">
        <v>188</v>
      </c>
      <c r="AC940" t="s">
        <v>816</v>
      </c>
    </row>
    <row r="941" spans="1:29" ht="12.75">
      <c r="A941" t="str">
        <f>"689303693F"</f>
        <v>689303693F</v>
      </c>
      <c r="B941" t="str">
        <f>"02406911202"</f>
        <v>02406911202</v>
      </c>
      <c r="C941" t="s">
        <v>13</v>
      </c>
      <c r="D941" t="s">
        <v>30</v>
      </c>
      <c r="E941" t="s">
        <v>1143</v>
      </c>
      <c r="F941" t="s">
        <v>188</v>
      </c>
      <c r="AC941" t="s">
        <v>816</v>
      </c>
    </row>
    <row r="942" spans="1:29" ht="12.75">
      <c r="A942" t="str">
        <f>"6893041D5E"</f>
        <v>6893041D5E</v>
      </c>
      <c r="B942" t="str">
        <f>"02406911202"</f>
        <v>02406911202</v>
      </c>
      <c r="C942" t="s">
        <v>13</v>
      </c>
      <c r="D942" t="s">
        <v>30</v>
      </c>
      <c r="E942" t="s">
        <v>1144</v>
      </c>
      <c r="F942" t="s">
        <v>188</v>
      </c>
      <c r="AC942" t="s">
        <v>816</v>
      </c>
    </row>
    <row r="943" spans="1:29" ht="12.75">
      <c r="A943" t="str">
        <f>"68930737C8"</f>
        <v>68930737C8</v>
      </c>
      <c r="B943" t="str">
        <f>"02406911202"</f>
        <v>02406911202</v>
      </c>
      <c r="C943" t="s">
        <v>13</v>
      </c>
      <c r="D943" t="s">
        <v>30</v>
      </c>
      <c r="E943" t="s">
        <v>1145</v>
      </c>
      <c r="F943" t="s">
        <v>188</v>
      </c>
      <c r="AC943" t="s">
        <v>816</v>
      </c>
    </row>
    <row r="944" spans="1:29" ht="12.75">
      <c r="A944" t="str">
        <f>"6893087357"</f>
        <v>6893087357</v>
      </c>
      <c r="B944" t="str">
        <f>"02406911202"</f>
        <v>02406911202</v>
      </c>
      <c r="C944" t="s">
        <v>13</v>
      </c>
      <c r="D944" t="s">
        <v>30</v>
      </c>
      <c r="E944" t="s">
        <v>1146</v>
      </c>
      <c r="F944" t="s">
        <v>188</v>
      </c>
      <c r="AC944" t="s">
        <v>816</v>
      </c>
    </row>
    <row r="945" spans="1:29" ht="12.75">
      <c r="A945" t="str">
        <f>"68930959EF"</f>
        <v>68930959EF</v>
      </c>
      <c r="B945" t="str">
        <f>"02406911202"</f>
        <v>02406911202</v>
      </c>
      <c r="C945" t="s">
        <v>13</v>
      </c>
      <c r="D945" t="s">
        <v>30</v>
      </c>
      <c r="E945" t="s">
        <v>1147</v>
      </c>
      <c r="F945" t="s">
        <v>188</v>
      </c>
      <c r="AC945" t="s">
        <v>816</v>
      </c>
    </row>
    <row r="946" spans="1:29" ht="12.75">
      <c r="A946" t="str">
        <f>"689311499D"</f>
        <v>689311499D</v>
      </c>
      <c r="B946" t="str">
        <f>"02406911202"</f>
        <v>02406911202</v>
      </c>
      <c r="C946" t="s">
        <v>13</v>
      </c>
      <c r="D946" t="s">
        <v>30</v>
      </c>
      <c r="E946" t="s">
        <v>1148</v>
      </c>
      <c r="F946" t="s">
        <v>188</v>
      </c>
      <c r="AC946" t="s">
        <v>816</v>
      </c>
    </row>
    <row r="947" spans="1:29" ht="12.75">
      <c r="A947" t="str">
        <f>"6893768551"</f>
        <v>6893768551</v>
      </c>
      <c r="B947" t="str">
        <f>"02406911202"</f>
        <v>02406911202</v>
      </c>
      <c r="C947" t="s">
        <v>13</v>
      </c>
      <c r="D947" t="s">
        <v>30</v>
      </c>
      <c r="E947" t="s">
        <v>1149</v>
      </c>
      <c r="F947" t="s">
        <v>188</v>
      </c>
      <c r="AC947" t="s">
        <v>816</v>
      </c>
    </row>
    <row r="948" spans="1:29" ht="12.75">
      <c r="A948" t="str">
        <f>"68937820E0"</f>
        <v>68937820E0</v>
      </c>
      <c r="B948" t="str">
        <f>"02406911202"</f>
        <v>02406911202</v>
      </c>
      <c r="C948" t="s">
        <v>13</v>
      </c>
      <c r="D948" t="s">
        <v>30</v>
      </c>
      <c r="E948" t="s">
        <v>1150</v>
      </c>
      <c r="F948" t="s">
        <v>188</v>
      </c>
      <c r="AC948" t="s">
        <v>816</v>
      </c>
    </row>
    <row r="949" spans="1:29" ht="12.75">
      <c r="A949" t="str">
        <f>"6893804307"</f>
        <v>6893804307</v>
      </c>
      <c r="B949" t="str">
        <f>"02406911202"</f>
        <v>02406911202</v>
      </c>
      <c r="C949" t="s">
        <v>13</v>
      </c>
      <c r="D949" t="s">
        <v>30</v>
      </c>
      <c r="E949" t="s">
        <v>1151</v>
      </c>
      <c r="F949" t="s">
        <v>188</v>
      </c>
      <c r="AC949" t="s">
        <v>816</v>
      </c>
    </row>
    <row r="950" spans="1:29" ht="12.75">
      <c r="A950" t="str">
        <f>"6893815C18"</f>
        <v>6893815C18</v>
      </c>
      <c r="B950" t="str">
        <f>"02406911202"</f>
        <v>02406911202</v>
      </c>
      <c r="C950" t="s">
        <v>13</v>
      </c>
      <c r="D950" t="s">
        <v>30</v>
      </c>
      <c r="E950" t="s">
        <v>1152</v>
      </c>
      <c r="F950" t="s">
        <v>188</v>
      </c>
      <c r="AC950" t="s">
        <v>816</v>
      </c>
    </row>
    <row r="951" spans="1:29" ht="12.75">
      <c r="A951" t="str">
        <f>"689382545B"</f>
        <v>689382545B</v>
      </c>
      <c r="B951" t="str">
        <f>"02406911202"</f>
        <v>02406911202</v>
      </c>
      <c r="C951" t="s">
        <v>13</v>
      </c>
      <c r="D951" t="s">
        <v>30</v>
      </c>
      <c r="E951" t="s">
        <v>1153</v>
      </c>
      <c r="F951" t="s">
        <v>188</v>
      </c>
      <c r="AC951" t="s">
        <v>816</v>
      </c>
    </row>
    <row r="952" spans="1:29" ht="12.75">
      <c r="A952" t="str">
        <f>"6893837E3F"</f>
        <v>6893837E3F</v>
      </c>
      <c r="B952" t="str">
        <f>"02406911202"</f>
        <v>02406911202</v>
      </c>
      <c r="C952" t="s">
        <v>13</v>
      </c>
      <c r="D952" t="s">
        <v>30</v>
      </c>
      <c r="E952" t="s">
        <v>1154</v>
      </c>
      <c r="F952" t="s">
        <v>188</v>
      </c>
      <c r="AC952" t="s">
        <v>816</v>
      </c>
    </row>
    <row r="953" spans="1:29" ht="12.75">
      <c r="A953" t="str">
        <f>"66356041A6"</f>
        <v>66356041A6</v>
      </c>
      <c r="B953" t="str">
        <f>"02406911202"</f>
        <v>02406911202</v>
      </c>
      <c r="C953" t="s">
        <v>13</v>
      </c>
      <c r="D953" t="s">
        <v>30</v>
      </c>
      <c r="E953" t="s">
        <v>1155</v>
      </c>
      <c r="F953" t="s">
        <v>188</v>
      </c>
      <c r="G953" t="str">
        <f>"00674840152"</f>
        <v>00674840152</v>
      </c>
      <c r="I953" t="s">
        <v>473</v>
      </c>
      <c r="L953" t="s">
        <v>91</v>
      </c>
      <c r="AC953" t="s">
        <v>89</v>
      </c>
    </row>
    <row r="954" spans="1:29" ht="12.75">
      <c r="A954" t="str">
        <f>"66356041A6"</f>
        <v>66356041A6</v>
      </c>
      <c r="B954" t="str">
        <f>"02406911202"</f>
        <v>02406911202</v>
      </c>
      <c r="C954" t="s">
        <v>13</v>
      </c>
      <c r="D954" t="s">
        <v>30</v>
      </c>
      <c r="E954" t="s">
        <v>1155</v>
      </c>
      <c r="F954" t="s">
        <v>188</v>
      </c>
      <c r="G954" t="str">
        <f>"01721040440"</f>
        <v>01721040440</v>
      </c>
      <c r="I954" t="s">
        <v>1156</v>
      </c>
      <c r="L954" t="s">
        <v>91</v>
      </c>
      <c r="AC954" t="s">
        <v>89</v>
      </c>
    </row>
    <row r="955" spans="1:29" ht="12.75">
      <c r="A955" t="str">
        <f>"66356041A6"</f>
        <v>66356041A6</v>
      </c>
      <c r="B955" t="str">
        <f>"02406911202"</f>
        <v>02406911202</v>
      </c>
      <c r="C955" t="s">
        <v>13</v>
      </c>
      <c r="D955" t="s">
        <v>30</v>
      </c>
      <c r="E955" t="s">
        <v>1155</v>
      </c>
      <c r="F955" t="s">
        <v>188</v>
      </c>
      <c r="G955" t="str">
        <f>"06324460150"</f>
        <v>06324460150</v>
      </c>
      <c r="I955" t="s">
        <v>357</v>
      </c>
      <c r="L955" t="s">
        <v>34</v>
      </c>
      <c r="M955">
        <v>122840</v>
      </c>
      <c r="N955">
        <v>44400</v>
      </c>
      <c r="O955">
        <v>38480</v>
      </c>
      <c r="P955">
        <v>5180</v>
      </c>
      <c r="Q955">
        <v>10360</v>
      </c>
      <c r="R955">
        <v>5180</v>
      </c>
      <c r="S955">
        <v>19240</v>
      </c>
      <c r="AC955" t="s">
        <v>89</v>
      </c>
    </row>
    <row r="956" spans="1:29" ht="12.75">
      <c r="A956" t="str">
        <f>"66356041A6"</f>
        <v>66356041A6</v>
      </c>
      <c r="B956" t="str">
        <f>"02406911202"</f>
        <v>02406911202</v>
      </c>
      <c r="C956" t="s">
        <v>13</v>
      </c>
      <c r="D956" t="s">
        <v>30</v>
      </c>
      <c r="E956" t="s">
        <v>1155</v>
      </c>
      <c r="F956" t="s">
        <v>188</v>
      </c>
      <c r="G956" t="str">
        <f>"02173550282"</f>
        <v>02173550282</v>
      </c>
      <c r="I956" t="s">
        <v>1157</v>
      </c>
      <c r="L956" t="s">
        <v>91</v>
      </c>
      <c r="AC956" t="s">
        <v>89</v>
      </c>
    </row>
    <row r="957" spans="1:29" ht="12.75">
      <c r="A957" t="str">
        <f>"6635620ED6"</f>
        <v>6635620ED6</v>
      </c>
      <c r="B957" t="str">
        <f>"02406911202"</f>
        <v>02406911202</v>
      </c>
      <c r="C957" t="s">
        <v>13</v>
      </c>
      <c r="D957" t="s">
        <v>30</v>
      </c>
      <c r="E957" t="s">
        <v>1158</v>
      </c>
      <c r="F957" t="s">
        <v>188</v>
      </c>
      <c r="G957" t="str">
        <f>"00803890151"</f>
        <v>00803890151</v>
      </c>
      <c r="I957" t="s">
        <v>273</v>
      </c>
      <c r="L957" t="s">
        <v>34</v>
      </c>
      <c r="M957">
        <v>5704</v>
      </c>
      <c r="N957">
        <v>3720</v>
      </c>
      <c r="O957">
        <v>1240</v>
      </c>
      <c r="P957">
        <v>0</v>
      </c>
      <c r="Q957">
        <v>0</v>
      </c>
      <c r="R957">
        <v>0</v>
      </c>
      <c r="S957">
        <v>744</v>
      </c>
      <c r="AC957" t="s">
        <v>89</v>
      </c>
    </row>
    <row r="958" spans="1:29" ht="12.75">
      <c r="A958" t="str">
        <f>"66356274A0"</f>
        <v>66356274A0</v>
      </c>
      <c r="B958" t="str">
        <f>"02406911202"</f>
        <v>02406911202</v>
      </c>
      <c r="C958" t="s">
        <v>13</v>
      </c>
      <c r="D958" t="s">
        <v>30</v>
      </c>
      <c r="E958" t="s">
        <v>1159</v>
      </c>
      <c r="F958" t="s">
        <v>188</v>
      </c>
      <c r="G958" t="str">
        <f>"01721040440"</f>
        <v>01721040440</v>
      </c>
      <c r="I958" t="s">
        <v>1156</v>
      </c>
      <c r="L958" t="s">
        <v>91</v>
      </c>
      <c r="AC958" t="s">
        <v>89</v>
      </c>
    </row>
    <row r="959" spans="1:29" ht="12.75">
      <c r="A959" t="str">
        <f>"66356274A0"</f>
        <v>66356274A0</v>
      </c>
      <c r="B959" t="str">
        <f>"02406911202"</f>
        <v>02406911202</v>
      </c>
      <c r="C959" t="s">
        <v>13</v>
      </c>
      <c r="D959" t="s">
        <v>30</v>
      </c>
      <c r="E959" t="s">
        <v>1159</v>
      </c>
      <c r="F959" t="s">
        <v>188</v>
      </c>
      <c r="G959" t="str">
        <f>"01857820284"</f>
        <v>01857820284</v>
      </c>
      <c r="I959" t="s">
        <v>575</v>
      </c>
      <c r="L959" t="s">
        <v>91</v>
      </c>
      <c r="AC959" t="s">
        <v>89</v>
      </c>
    </row>
    <row r="960" spans="1:29" ht="12.75">
      <c r="A960" t="str">
        <f>"66356274A0"</f>
        <v>66356274A0</v>
      </c>
      <c r="B960" t="str">
        <f>"02406911202"</f>
        <v>02406911202</v>
      </c>
      <c r="C960" t="s">
        <v>13</v>
      </c>
      <c r="D960" t="s">
        <v>30</v>
      </c>
      <c r="E960" t="s">
        <v>1159</v>
      </c>
      <c r="F960" t="s">
        <v>188</v>
      </c>
      <c r="G960" t="str">
        <f>"01677460303"</f>
        <v>01677460303</v>
      </c>
      <c r="I960" t="s">
        <v>1160</v>
      </c>
      <c r="L960" t="s">
        <v>91</v>
      </c>
      <c r="AC960" t="s">
        <v>89</v>
      </c>
    </row>
    <row r="961" spans="1:29" ht="12.75">
      <c r="A961" t="str">
        <f>"66356274A0"</f>
        <v>66356274A0</v>
      </c>
      <c r="B961" t="str">
        <f>"02406911202"</f>
        <v>02406911202</v>
      </c>
      <c r="C961" t="s">
        <v>13</v>
      </c>
      <c r="D961" t="s">
        <v>30</v>
      </c>
      <c r="E961" t="s">
        <v>1159</v>
      </c>
      <c r="F961" t="s">
        <v>188</v>
      </c>
      <c r="G961" t="str">
        <f>"01681100150"</f>
        <v>01681100150</v>
      </c>
      <c r="I961" t="s">
        <v>201</v>
      </c>
      <c r="L961" t="s">
        <v>34</v>
      </c>
      <c r="M961">
        <v>288840</v>
      </c>
      <c r="N961">
        <v>185600</v>
      </c>
      <c r="O961">
        <v>81200</v>
      </c>
      <c r="P961">
        <v>5800</v>
      </c>
      <c r="Q961">
        <v>2320</v>
      </c>
      <c r="R961">
        <v>0</v>
      </c>
      <c r="S961">
        <v>13920</v>
      </c>
      <c r="AC961" t="s">
        <v>89</v>
      </c>
    </row>
    <row r="962" spans="1:29" ht="12.75">
      <c r="A962" t="str">
        <f>"66356274A0"</f>
        <v>66356274A0</v>
      </c>
      <c r="B962" t="str">
        <f>"02406911202"</f>
        <v>02406911202</v>
      </c>
      <c r="C962" t="s">
        <v>13</v>
      </c>
      <c r="D962" t="s">
        <v>30</v>
      </c>
      <c r="E962" t="s">
        <v>1159</v>
      </c>
      <c r="F962" t="s">
        <v>188</v>
      </c>
      <c r="G962" t="str">
        <f>"06324460150"</f>
        <v>06324460150</v>
      </c>
      <c r="I962" t="s">
        <v>357</v>
      </c>
      <c r="L962" t="s">
        <v>91</v>
      </c>
      <c r="AC962" t="s">
        <v>89</v>
      </c>
    </row>
    <row r="963" spans="1:29" ht="12.75">
      <c r="A963" t="str">
        <f>"66356274A0"</f>
        <v>66356274A0</v>
      </c>
      <c r="B963" t="str">
        <f>"02406911202"</f>
        <v>02406911202</v>
      </c>
      <c r="C963" t="s">
        <v>13</v>
      </c>
      <c r="D963" t="s">
        <v>30</v>
      </c>
      <c r="E963" t="s">
        <v>1159</v>
      </c>
      <c r="F963" t="s">
        <v>188</v>
      </c>
      <c r="G963" t="str">
        <f>"02173550282"</f>
        <v>02173550282</v>
      </c>
      <c r="I963" t="s">
        <v>1157</v>
      </c>
      <c r="L963" t="s">
        <v>91</v>
      </c>
      <c r="AC963" t="s">
        <v>89</v>
      </c>
    </row>
    <row r="964" spans="1:29" ht="12.75">
      <c r="A964" t="str">
        <f>"69271977CC"</f>
        <v>69271977CC</v>
      </c>
      <c r="B964" t="str">
        <f>"02406911202"</f>
        <v>02406911202</v>
      </c>
      <c r="C964" t="s">
        <v>13</v>
      </c>
      <c r="D964" t="s">
        <v>30</v>
      </c>
      <c r="E964" t="s">
        <v>1161</v>
      </c>
      <c r="F964" t="s">
        <v>32</v>
      </c>
      <c r="G964" t="str">
        <f>"00440180545"</f>
        <v>00440180545</v>
      </c>
      <c r="I964" t="s">
        <v>1162</v>
      </c>
      <c r="L964" t="s">
        <v>34</v>
      </c>
      <c r="M964">
        <v>17427.87</v>
      </c>
      <c r="N964">
        <v>2100</v>
      </c>
      <c r="Q964">
        <v>15327.87</v>
      </c>
      <c r="AC964" t="s">
        <v>816</v>
      </c>
    </row>
    <row r="965" spans="1:29" ht="12.75">
      <c r="A965" t="str">
        <f>"69272324AF"</f>
        <v>69272324AF</v>
      </c>
      <c r="B965" t="str">
        <f>"02406911202"</f>
        <v>02406911202</v>
      </c>
      <c r="C965" t="s">
        <v>13</v>
      </c>
      <c r="D965" t="s">
        <v>30</v>
      </c>
      <c r="E965" t="s">
        <v>1161</v>
      </c>
      <c r="F965" t="s">
        <v>32</v>
      </c>
      <c r="G965" t="str">
        <f>"01693020206"</f>
        <v>01693020206</v>
      </c>
      <c r="I965" t="s">
        <v>1163</v>
      </c>
      <c r="L965" t="s">
        <v>34</v>
      </c>
      <c r="M965">
        <v>6562.51</v>
      </c>
      <c r="N965">
        <v>6562.51</v>
      </c>
      <c r="AC965" t="s">
        <v>816</v>
      </c>
    </row>
    <row r="966" spans="1:29" ht="12.75">
      <c r="A966" t="str">
        <f>"6927252530"</f>
        <v>6927252530</v>
      </c>
      <c r="B966" t="str">
        <f>"02406911202"</f>
        <v>02406911202</v>
      </c>
      <c r="C966" t="s">
        <v>13</v>
      </c>
      <c r="D966" t="s">
        <v>30</v>
      </c>
      <c r="E966" t="s">
        <v>1161</v>
      </c>
      <c r="F966" t="s">
        <v>32</v>
      </c>
      <c r="G966" t="str">
        <f>"02426070120"</f>
        <v>02426070120</v>
      </c>
      <c r="I966" t="s">
        <v>1164</v>
      </c>
      <c r="L966" t="s">
        <v>34</v>
      </c>
      <c r="M966">
        <v>101774.29</v>
      </c>
      <c r="N966">
        <v>80462.81</v>
      </c>
      <c r="Q966">
        <v>21311.48</v>
      </c>
      <c r="AC966" t="s">
        <v>816</v>
      </c>
    </row>
    <row r="967" spans="1:29" ht="12.75">
      <c r="A967" t="str">
        <f>"69272725B1"</f>
        <v>69272725B1</v>
      </c>
      <c r="B967" t="str">
        <f>"02406911202"</f>
        <v>02406911202</v>
      </c>
      <c r="C967" t="s">
        <v>13</v>
      </c>
      <c r="D967" t="s">
        <v>30</v>
      </c>
      <c r="E967" t="s">
        <v>1161</v>
      </c>
      <c r="F967" t="s">
        <v>32</v>
      </c>
      <c r="G967" t="str">
        <f>"02136540230"</f>
        <v>02136540230</v>
      </c>
      <c r="I967" t="s">
        <v>1165</v>
      </c>
      <c r="L967" t="s">
        <v>34</v>
      </c>
      <c r="M967">
        <v>20845.47</v>
      </c>
      <c r="N967">
        <v>20845.47</v>
      </c>
      <c r="AC967" t="s">
        <v>816</v>
      </c>
    </row>
    <row r="968" spans="1:29" ht="12.75">
      <c r="A968" t="str">
        <f>"6635659F05"</f>
        <v>6635659F05</v>
      </c>
      <c r="B968" t="str">
        <f>"02406911202"</f>
        <v>02406911202</v>
      </c>
      <c r="C968" t="s">
        <v>13</v>
      </c>
      <c r="D968" t="s">
        <v>30</v>
      </c>
      <c r="E968" t="s">
        <v>1166</v>
      </c>
      <c r="F968" t="s">
        <v>188</v>
      </c>
      <c r="G968" t="str">
        <f>"07931650589"</f>
        <v>07931650589</v>
      </c>
      <c r="I968" t="s">
        <v>1167</v>
      </c>
      <c r="L968" t="s">
        <v>34</v>
      </c>
      <c r="M968">
        <v>24160</v>
      </c>
      <c r="N968">
        <v>1050</v>
      </c>
      <c r="O968">
        <v>15080</v>
      </c>
      <c r="P968">
        <v>0</v>
      </c>
      <c r="Q968">
        <v>0</v>
      </c>
      <c r="R968">
        <v>0</v>
      </c>
      <c r="S968">
        <v>8030</v>
      </c>
      <c r="AC968" t="s">
        <v>89</v>
      </c>
    </row>
    <row r="969" spans="1:29" ht="12.75">
      <c r="A969" t="str">
        <f>"66356664CF"</f>
        <v>66356664CF</v>
      </c>
      <c r="B969" t="str">
        <f>"02406911202"</f>
        <v>02406911202</v>
      </c>
      <c r="C969" t="s">
        <v>13</v>
      </c>
      <c r="D969" t="s">
        <v>30</v>
      </c>
      <c r="E969" t="s">
        <v>1168</v>
      </c>
      <c r="F969" t="s">
        <v>188</v>
      </c>
      <c r="G969" t="str">
        <f>"07931650589"</f>
        <v>07931650589</v>
      </c>
      <c r="I969" t="s">
        <v>1167</v>
      </c>
      <c r="L969" t="s">
        <v>34</v>
      </c>
      <c r="M969">
        <v>22854</v>
      </c>
      <c r="N969">
        <v>0</v>
      </c>
      <c r="O969">
        <v>20360</v>
      </c>
      <c r="P969">
        <v>0</v>
      </c>
      <c r="Q969">
        <v>0</v>
      </c>
      <c r="R969">
        <v>1564</v>
      </c>
      <c r="S969">
        <v>930</v>
      </c>
      <c r="AC969" t="s">
        <v>89</v>
      </c>
    </row>
    <row r="970" spans="1:29" ht="12.75">
      <c r="A970" t="str">
        <f>"676035449A"</f>
        <v>676035449A</v>
      </c>
      <c r="B970" t="str">
        <f>"02406911202"</f>
        <v>02406911202</v>
      </c>
      <c r="C970" t="s">
        <v>13</v>
      </c>
      <c r="D970" t="s">
        <v>30</v>
      </c>
      <c r="E970" t="s">
        <v>1169</v>
      </c>
      <c r="F970" t="s">
        <v>188</v>
      </c>
      <c r="AC970" t="s">
        <v>1170</v>
      </c>
    </row>
    <row r="971" spans="1:29" ht="12.75">
      <c r="A971" t="str">
        <f>"6760362B32"</f>
        <v>6760362B32</v>
      </c>
      <c r="B971" t="str">
        <f>"02406911202"</f>
        <v>02406911202</v>
      </c>
      <c r="C971" t="s">
        <v>13</v>
      </c>
      <c r="D971" t="s">
        <v>30</v>
      </c>
      <c r="E971" t="s">
        <v>1171</v>
      </c>
      <c r="F971" t="s">
        <v>188</v>
      </c>
      <c r="AC971" t="s">
        <v>1170</v>
      </c>
    </row>
    <row r="972" spans="1:29" ht="12.75">
      <c r="A972" t="str">
        <f>"6760373448"</f>
        <v>6760373448</v>
      </c>
      <c r="B972" t="str">
        <f>"02406911202"</f>
        <v>02406911202</v>
      </c>
      <c r="C972" t="s">
        <v>13</v>
      </c>
      <c r="D972" t="s">
        <v>30</v>
      </c>
      <c r="E972" t="s">
        <v>1171</v>
      </c>
      <c r="F972" t="s">
        <v>188</v>
      </c>
      <c r="AC972" t="s">
        <v>1170</v>
      </c>
    </row>
    <row r="973" spans="1:29" ht="12.75">
      <c r="A973" t="str">
        <f>"6760380A0D"</f>
        <v>6760380A0D</v>
      </c>
      <c r="B973" t="str">
        <f>"02406911202"</f>
        <v>02406911202</v>
      </c>
      <c r="C973" t="s">
        <v>13</v>
      </c>
      <c r="D973" t="s">
        <v>30</v>
      </c>
      <c r="E973" t="s">
        <v>1171</v>
      </c>
      <c r="F973" t="s">
        <v>188</v>
      </c>
      <c r="AC973" t="s">
        <v>1170</v>
      </c>
    </row>
    <row r="974" spans="1:29" ht="12.75">
      <c r="A974" t="str">
        <f>"67603880AA"</f>
        <v>67603880AA</v>
      </c>
      <c r="B974" t="str">
        <f>"02406911202"</f>
        <v>02406911202</v>
      </c>
      <c r="C974" t="s">
        <v>13</v>
      </c>
      <c r="D974" t="s">
        <v>30</v>
      </c>
      <c r="E974" t="s">
        <v>1171</v>
      </c>
      <c r="F974" t="s">
        <v>188</v>
      </c>
      <c r="AC974" t="s">
        <v>1170</v>
      </c>
    </row>
    <row r="975" spans="1:29" ht="12.75">
      <c r="A975" t="str">
        <f>"67603934C9"</f>
        <v>67603934C9</v>
      </c>
      <c r="B975" t="str">
        <f>"02406911202"</f>
        <v>02406911202</v>
      </c>
      <c r="C975" t="s">
        <v>13</v>
      </c>
      <c r="D975" t="s">
        <v>30</v>
      </c>
      <c r="E975" t="s">
        <v>1171</v>
      </c>
      <c r="F975" t="s">
        <v>188</v>
      </c>
      <c r="AC975" t="s">
        <v>1170</v>
      </c>
    </row>
    <row r="976" spans="1:29" ht="12.75">
      <c r="A976" t="str">
        <f>"67603999BB"</f>
        <v>67603999BB</v>
      </c>
      <c r="B976" t="str">
        <f>"02406911202"</f>
        <v>02406911202</v>
      </c>
      <c r="C976" t="s">
        <v>13</v>
      </c>
      <c r="D976" t="s">
        <v>30</v>
      </c>
      <c r="E976" t="s">
        <v>1171</v>
      </c>
      <c r="F976" t="s">
        <v>188</v>
      </c>
      <c r="AC976" t="s">
        <v>1170</v>
      </c>
    </row>
    <row r="977" spans="1:29" ht="12.75">
      <c r="A977" t="str">
        <f>"6760406F80"</f>
        <v>6760406F80</v>
      </c>
      <c r="B977" t="str">
        <f>"02406911202"</f>
        <v>02406911202</v>
      </c>
      <c r="C977" t="s">
        <v>13</v>
      </c>
      <c r="D977" t="s">
        <v>30</v>
      </c>
      <c r="E977" t="s">
        <v>1171</v>
      </c>
      <c r="F977" t="s">
        <v>188</v>
      </c>
      <c r="AC977" t="s">
        <v>1170</v>
      </c>
    </row>
    <row r="978" spans="1:29" ht="12.75">
      <c r="A978" t="str">
        <f>"67604102D1"</f>
        <v>67604102D1</v>
      </c>
      <c r="B978" t="str">
        <f>"02406911202"</f>
        <v>02406911202</v>
      </c>
      <c r="C978" t="s">
        <v>13</v>
      </c>
      <c r="D978" t="s">
        <v>30</v>
      </c>
      <c r="E978" t="s">
        <v>1171</v>
      </c>
      <c r="F978" t="s">
        <v>188</v>
      </c>
      <c r="AC978" t="s">
        <v>1170</v>
      </c>
    </row>
    <row r="979" spans="1:29" ht="12.75">
      <c r="A979" t="str">
        <f>"6760544166"</f>
        <v>6760544166</v>
      </c>
      <c r="B979" t="str">
        <f>"02406911202"</f>
        <v>02406911202</v>
      </c>
      <c r="C979" t="s">
        <v>13</v>
      </c>
      <c r="D979" t="s">
        <v>30</v>
      </c>
      <c r="E979" t="s">
        <v>1171</v>
      </c>
      <c r="F979" t="s">
        <v>188</v>
      </c>
      <c r="AC979" t="s">
        <v>1170</v>
      </c>
    </row>
    <row r="980" spans="1:29" ht="12.75">
      <c r="A980" t="str">
        <f>"6760555A77"</f>
        <v>6760555A77</v>
      </c>
      <c r="B980" t="str">
        <f>"02406911202"</f>
        <v>02406911202</v>
      </c>
      <c r="C980" t="s">
        <v>13</v>
      </c>
      <c r="D980" t="s">
        <v>30</v>
      </c>
      <c r="E980" t="s">
        <v>1171</v>
      </c>
      <c r="F980" t="s">
        <v>188</v>
      </c>
      <c r="AC980" t="s">
        <v>1170</v>
      </c>
    </row>
    <row r="981" spans="1:29" ht="12.75">
      <c r="A981" t="str">
        <f>"67605652BA"</f>
        <v>67605652BA</v>
      </c>
      <c r="B981" t="str">
        <f>"02406911202"</f>
        <v>02406911202</v>
      </c>
      <c r="C981" t="s">
        <v>13</v>
      </c>
      <c r="D981" t="s">
        <v>30</v>
      </c>
      <c r="E981" t="s">
        <v>1171</v>
      </c>
      <c r="F981" t="s">
        <v>188</v>
      </c>
      <c r="AC981" t="s">
        <v>1170</v>
      </c>
    </row>
    <row r="982" spans="1:29" ht="12.75">
      <c r="A982" t="str">
        <f>"6760567460"</f>
        <v>6760567460</v>
      </c>
      <c r="B982" t="str">
        <f>"02406911202"</f>
        <v>02406911202</v>
      </c>
      <c r="C982" t="s">
        <v>13</v>
      </c>
      <c r="D982" t="s">
        <v>30</v>
      </c>
      <c r="E982" t="s">
        <v>1171</v>
      </c>
      <c r="F982" t="s">
        <v>188</v>
      </c>
      <c r="AC982" t="s">
        <v>1170</v>
      </c>
    </row>
    <row r="983" spans="1:29" ht="12.75">
      <c r="A983" t="str">
        <f>"676057287F"</f>
        <v>676057287F</v>
      </c>
      <c r="B983" t="str">
        <f>"02406911202"</f>
        <v>02406911202</v>
      </c>
      <c r="C983" t="s">
        <v>13</v>
      </c>
      <c r="D983" t="s">
        <v>30</v>
      </c>
      <c r="E983" t="s">
        <v>1171</v>
      </c>
      <c r="F983" t="s">
        <v>188</v>
      </c>
      <c r="AC983" t="s">
        <v>1170</v>
      </c>
    </row>
    <row r="984" spans="1:29" ht="12.75">
      <c r="A984" t="str">
        <f>"6760578D71"</f>
        <v>6760578D71</v>
      </c>
      <c r="B984" t="str">
        <f>"02406911202"</f>
        <v>02406911202</v>
      </c>
      <c r="C984" t="s">
        <v>13</v>
      </c>
      <c r="D984" t="s">
        <v>30</v>
      </c>
      <c r="E984" t="s">
        <v>1171</v>
      </c>
      <c r="F984" t="s">
        <v>188</v>
      </c>
      <c r="AC984" t="s">
        <v>1170</v>
      </c>
    </row>
    <row r="985" spans="1:29" ht="12.75">
      <c r="A985" t="str">
        <f>"67605820C2"</f>
        <v>67605820C2</v>
      </c>
      <c r="B985" t="str">
        <f>"02406911202"</f>
        <v>02406911202</v>
      </c>
      <c r="C985" t="s">
        <v>13</v>
      </c>
      <c r="D985" t="s">
        <v>30</v>
      </c>
      <c r="E985" t="s">
        <v>1171</v>
      </c>
      <c r="F985" t="s">
        <v>188</v>
      </c>
      <c r="AC985" t="s">
        <v>1170</v>
      </c>
    </row>
    <row r="986" spans="1:29" ht="12.75">
      <c r="A986" t="str">
        <f>"676058640E"</f>
        <v>676058640E</v>
      </c>
      <c r="B986" t="str">
        <f>"02406911202"</f>
        <v>02406911202</v>
      </c>
      <c r="C986" t="s">
        <v>13</v>
      </c>
      <c r="D986" t="s">
        <v>30</v>
      </c>
      <c r="E986" t="s">
        <v>1171</v>
      </c>
      <c r="F986" t="s">
        <v>188</v>
      </c>
      <c r="AC986" t="s">
        <v>1170</v>
      </c>
    </row>
    <row r="987" spans="1:29" ht="12.75">
      <c r="A987" t="str">
        <f>"676059075A"</f>
        <v>676059075A</v>
      </c>
      <c r="B987" t="str">
        <f>"02406911202"</f>
        <v>02406911202</v>
      </c>
      <c r="C987" t="s">
        <v>13</v>
      </c>
      <c r="D987" t="s">
        <v>30</v>
      </c>
      <c r="E987" t="s">
        <v>1171</v>
      </c>
      <c r="F987" t="s">
        <v>188</v>
      </c>
      <c r="AC987" t="s">
        <v>1170</v>
      </c>
    </row>
    <row r="988" spans="1:29" ht="12.75">
      <c r="A988" t="str">
        <f>"6760595B79"</f>
        <v>6760595B79</v>
      </c>
      <c r="B988" t="str">
        <f>"02406911202"</f>
        <v>02406911202</v>
      </c>
      <c r="C988" t="s">
        <v>13</v>
      </c>
      <c r="D988" t="s">
        <v>30</v>
      </c>
      <c r="E988" t="s">
        <v>1171</v>
      </c>
      <c r="F988" t="s">
        <v>188</v>
      </c>
      <c r="AC988" t="s">
        <v>1170</v>
      </c>
    </row>
    <row r="989" spans="1:29" ht="12.75">
      <c r="A989" t="str">
        <f>"6760602143"</f>
        <v>6760602143</v>
      </c>
      <c r="B989" t="str">
        <f>"02406911202"</f>
        <v>02406911202</v>
      </c>
      <c r="C989" t="s">
        <v>13</v>
      </c>
      <c r="D989" t="s">
        <v>30</v>
      </c>
      <c r="E989" t="s">
        <v>1171</v>
      </c>
      <c r="F989" t="s">
        <v>188</v>
      </c>
      <c r="AC989" t="s">
        <v>1170</v>
      </c>
    </row>
    <row r="990" spans="1:29" ht="12.75">
      <c r="A990" t="str">
        <f>"67606107DB"</f>
        <v>67606107DB</v>
      </c>
      <c r="B990" t="str">
        <f>"02406911202"</f>
        <v>02406911202</v>
      </c>
      <c r="C990" t="s">
        <v>13</v>
      </c>
      <c r="D990" t="s">
        <v>30</v>
      </c>
      <c r="E990" t="s">
        <v>1171</v>
      </c>
      <c r="F990" t="s">
        <v>188</v>
      </c>
      <c r="AC990" t="s">
        <v>1170</v>
      </c>
    </row>
    <row r="991" spans="1:29" ht="12.75">
      <c r="A991" t="str">
        <f>"6760614B27"</f>
        <v>6760614B27</v>
      </c>
      <c r="B991" t="str">
        <f>"02406911202"</f>
        <v>02406911202</v>
      </c>
      <c r="C991" t="s">
        <v>13</v>
      </c>
      <c r="D991" t="s">
        <v>30</v>
      </c>
      <c r="E991" t="s">
        <v>1171</v>
      </c>
      <c r="F991" t="s">
        <v>188</v>
      </c>
      <c r="AC991" t="s">
        <v>1170</v>
      </c>
    </row>
    <row r="992" spans="1:29" ht="12.75">
      <c r="A992" t="str">
        <f>"6760619F46"</f>
        <v>6760619F46</v>
      </c>
      <c r="B992" t="str">
        <f>"02406911202"</f>
        <v>02406911202</v>
      </c>
      <c r="C992" t="s">
        <v>13</v>
      </c>
      <c r="D992" t="s">
        <v>30</v>
      </c>
      <c r="E992" t="s">
        <v>1171</v>
      </c>
      <c r="F992" t="s">
        <v>188</v>
      </c>
      <c r="AC992" t="s">
        <v>1170</v>
      </c>
    </row>
    <row r="993" spans="1:29" ht="12.75">
      <c r="A993" t="str">
        <f>"6760632A02"</f>
        <v>6760632A02</v>
      </c>
      <c r="B993" t="str">
        <f>"02406911202"</f>
        <v>02406911202</v>
      </c>
      <c r="C993" t="s">
        <v>13</v>
      </c>
      <c r="D993" t="s">
        <v>30</v>
      </c>
      <c r="E993" t="s">
        <v>1171</v>
      </c>
      <c r="F993" t="s">
        <v>188</v>
      </c>
      <c r="AC993" t="s">
        <v>1170</v>
      </c>
    </row>
    <row r="994" spans="1:29" ht="12.75">
      <c r="A994" t="str">
        <f>"6760638EF4"</f>
        <v>6760638EF4</v>
      </c>
      <c r="B994" t="str">
        <f>"02406911202"</f>
        <v>02406911202</v>
      </c>
      <c r="C994" t="s">
        <v>13</v>
      </c>
      <c r="D994" t="s">
        <v>30</v>
      </c>
      <c r="E994" t="s">
        <v>1171</v>
      </c>
      <c r="F994" t="s">
        <v>188</v>
      </c>
      <c r="AC994" t="s">
        <v>1170</v>
      </c>
    </row>
    <row r="995" spans="1:29" ht="12.75">
      <c r="A995" t="str">
        <f>"67606443EB"</f>
        <v>67606443EB</v>
      </c>
      <c r="B995" t="str">
        <f>"02406911202"</f>
        <v>02406911202</v>
      </c>
      <c r="C995" t="s">
        <v>13</v>
      </c>
      <c r="D995" t="s">
        <v>30</v>
      </c>
      <c r="E995" t="s">
        <v>1171</v>
      </c>
      <c r="F995" t="s">
        <v>188</v>
      </c>
      <c r="AC995" t="s">
        <v>1170</v>
      </c>
    </row>
    <row r="996" spans="1:29" ht="12.75">
      <c r="A996" t="str">
        <f>"6760655CFC"</f>
        <v>6760655CFC</v>
      </c>
      <c r="B996" t="str">
        <f>"02406911202"</f>
        <v>02406911202</v>
      </c>
      <c r="C996" t="s">
        <v>13</v>
      </c>
      <c r="D996" t="s">
        <v>30</v>
      </c>
      <c r="E996" t="s">
        <v>1171</v>
      </c>
      <c r="F996" t="s">
        <v>188</v>
      </c>
      <c r="AC996" t="s">
        <v>1170</v>
      </c>
    </row>
    <row r="997" spans="1:29" ht="12.75">
      <c r="A997" t="str">
        <f>"676066553F"</f>
        <v>676066553F</v>
      </c>
      <c r="B997" t="str">
        <f>"02406911202"</f>
        <v>02406911202</v>
      </c>
      <c r="C997" t="s">
        <v>13</v>
      </c>
      <c r="D997" t="s">
        <v>30</v>
      </c>
      <c r="E997" t="s">
        <v>1171</v>
      </c>
      <c r="F997" t="s">
        <v>188</v>
      </c>
      <c r="AC997" t="s">
        <v>1170</v>
      </c>
    </row>
    <row r="998" spans="1:29" ht="12.75">
      <c r="A998" t="str">
        <f>"676067095E"</f>
        <v>676067095E</v>
      </c>
      <c r="B998" t="str">
        <f>"02406911202"</f>
        <v>02406911202</v>
      </c>
      <c r="C998" t="s">
        <v>13</v>
      </c>
      <c r="D998" t="s">
        <v>30</v>
      </c>
      <c r="E998" t="s">
        <v>1171</v>
      </c>
      <c r="F998" t="s">
        <v>188</v>
      </c>
      <c r="AC998" t="s">
        <v>1170</v>
      </c>
    </row>
    <row r="999" spans="1:29" ht="12.75">
      <c r="A999" t="str">
        <f>"6760676E50"</f>
        <v>6760676E50</v>
      </c>
      <c r="B999" t="str">
        <f>"02406911202"</f>
        <v>02406911202</v>
      </c>
      <c r="C999" t="s">
        <v>13</v>
      </c>
      <c r="D999" t="s">
        <v>30</v>
      </c>
      <c r="E999" t="s">
        <v>1171</v>
      </c>
      <c r="F999" t="s">
        <v>188</v>
      </c>
      <c r="AC999" t="s">
        <v>1170</v>
      </c>
    </row>
    <row r="1000" spans="1:29" ht="12.75">
      <c r="A1000" t="str">
        <f>"6760686693"</f>
        <v>6760686693</v>
      </c>
      <c r="B1000" t="str">
        <f>"02406911202"</f>
        <v>02406911202</v>
      </c>
      <c r="C1000" t="s">
        <v>13</v>
      </c>
      <c r="D1000" t="s">
        <v>30</v>
      </c>
      <c r="E1000" t="s">
        <v>1171</v>
      </c>
      <c r="F1000" t="s">
        <v>188</v>
      </c>
      <c r="AC1000" t="s">
        <v>1170</v>
      </c>
    </row>
    <row r="1001" spans="1:29" ht="12.75">
      <c r="A1001" t="str">
        <f>"6760691AB2"</f>
        <v>6760691AB2</v>
      </c>
      <c r="B1001" t="str">
        <f>"02406911202"</f>
        <v>02406911202</v>
      </c>
      <c r="C1001" t="s">
        <v>13</v>
      </c>
      <c r="D1001" t="s">
        <v>30</v>
      </c>
      <c r="E1001" t="s">
        <v>1171</v>
      </c>
      <c r="F1001" t="s">
        <v>188</v>
      </c>
      <c r="AC1001" t="s">
        <v>1170</v>
      </c>
    </row>
    <row r="1002" spans="1:29" ht="12.75">
      <c r="A1002" t="str">
        <f>"691622054B"</f>
        <v>691622054B</v>
      </c>
      <c r="B1002" t="str">
        <f>"02406911202"</f>
        <v>02406911202</v>
      </c>
      <c r="C1002" t="s">
        <v>13</v>
      </c>
      <c r="D1002" t="s">
        <v>30</v>
      </c>
      <c r="E1002" t="s">
        <v>1172</v>
      </c>
      <c r="F1002" t="s">
        <v>32</v>
      </c>
      <c r="G1002" t="str">
        <f>"07121831007"</f>
        <v>07121831007</v>
      </c>
      <c r="I1002" t="s">
        <v>171</v>
      </c>
      <c r="L1002" t="s">
        <v>34</v>
      </c>
      <c r="M1002">
        <v>220280</v>
      </c>
      <c r="N1002">
        <v>128400</v>
      </c>
      <c r="O1002">
        <v>42360</v>
      </c>
      <c r="Q1002">
        <v>49520</v>
      </c>
      <c r="AC1002" t="s">
        <v>1173</v>
      </c>
    </row>
    <row r="1003" spans="1:30" ht="12.75">
      <c r="A1003" t="str">
        <f>"6635638DB1"</f>
        <v>6635638DB1</v>
      </c>
      <c r="B1003" t="str">
        <f>"02406911202"</f>
        <v>02406911202</v>
      </c>
      <c r="C1003" t="s">
        <v>13</v>
      </c>
      <c r="D1003" t="s">
        <v>30</v>
      </c>
      <c r="E1003" t="s">
        <v>1174</v>
      </c>
      <c r="F1003" t="s">
        <v>188</v>
      </c>
      <c r="M1003">
        <v>0</v>
      </c>
      <c r="AC1003" t="s">
        <v>89</v>
      </c>
      <c r="AD1003" t="s">
        <v>1175</v>
      </c>
    </row>
    <row r="1004" spans="1:29" ht="12.75">
      <c r="A1004" t="str">
        <f>"691624169F"</f>
        <v>691624169F</v>
      </c>
      <c r="B1004" t="str">
        <f>"02406911202"</f>
        <v>02406911202</v>
      </c>
      <c r="C1004" t="s">
        <v>13</v>
      </c>
      <c r="D1004" t="s">
        <v>30</v>
      </c>
      <c r="E1004" t="s">
        <v>1172</v>
      </c>
      <c r="F1004" t="s">
        <v>32</v>
      </c>
      <c r="G1004" t="str">
        <f>"07435060152"</f>
        <v>07435060152</v>
      </c>
      <c r="I1004" t="s">
        <v>178</v>
      </c>
      <c r="L1004" t="s">
        <v>34</v>
      </c>
      <c r="M1004">
        <v>158442.5</v>
      </c>
      <c r="N1004">
        <v>97556.5</v>
      </c>
      <c r="O1004">
        <v>54093.33</v>
      </c>
      <c r="Q1004">
        <v>6792.67</v>
      </c>
      <c r="AC1004" t="s">
        <v>1173</v>
      </c>
    </row>
    <row r="1005" spans="1:30" ht="12.75">
      <c r="A1005" t="str">
        <f>"663565186D"</f>
        <v>663565186D</v>
      </c>
      <c r="B1005" t="str">
        <f>"02406911202"</f>
        <v>02406911202</v>
      </c>
      <c r="C1005" t="s">
        <v>13</v>
      </c>
      <c r="D1005" t="s">
        <v>30</v>
      </c>
      <c r="E1005" t="s">
        <v>1176</v>
      </c>
      <c r="F1005" t="s">
        <v>188</v>
      </c>
      <c r="M1005">
        <v>0</v>
      </c>
      <c r="AC1005" t="s">
        <v>89</v>
      </c>
      <c r="AD1005" t="s">
        <v>1175</v>
      </c>
    </row>
    <row r="1006" spans="1:29" ht="12.75">
      <c r="A1006" t="str">
        <f>"69162752AF"</f>
        <v>69162752AF</v>
      </c>
      <c r="B1006" t="str">
        <f>"02406911202"</f>
        <v>02406911202</v>
      </c>
      <c r="C1006" t="s">
        <v>13</v>
      </c>
      <c r="D1006" t="s">
        <v>30</v>
      </c>
      <c r="E1006" t="s">
        <v>1172</v>
      </c>
      <c r="F1006" t="s">
        <v>32</v>
      </c>
      <c r="G1006" t="str">
        <f>"07220700962"</f>
        <v>07220700962</v>
      </c>
      <c r="I1006" t="s">
        <v>179</v>
      </c>
      <c r="L1006" t="s">
        <v>34</v>
      </c>
      <c r="M1006">
        <v>3230</v>
      </c>
      <c r="O1006">
        <v>3230</v>
      </c>
      <c r="AC1006" t="s">
        <v>1173</v>
      </c>
    </row>
    <row r="1007" spans="1:29" ht="12.75">
      <c r="A1007" t="str">
        <f>"69162920B7"</f>
        <v>69162920B7</v>
      </c>
      <c r="B1007" t="str">
        <f>"02406911202"</f>
        <v>02406911202</v>
      </c>
      <c r="C1007" t="s">
        <v>13</v>
      </c>
      <c r="D1007" t="s">
        <v>30</v>
      </c>
      <c r="E1007" t="s">
        <v>1172</v>
      </c>
      <c r="F1007" t="s">
        <v>32</v>
      </c>
      <c r="G1007" t="str">
        <f>"05878101004"</f>
        <v>05878101004</v>
      </c>
      <c r="I1007" t="s">
        <v>181</v>
      </c>
      <c r="L1007" t="s">
        <v>34</v>
      </c>
      <c r="M1007">
        <v>19200</v>
      </c>
      <c r="N1007">
        <v>19200</v>
      </c>
      <c r="AC1007" t="s">
        <v>1173</v>
      </c>
    </row>
    <row r="1008" spans="1:29" ht="12.75">
      <c r="A1008" t="str">
        <f>"6916310F8D"</f>
        <v>6916310F8D</v>
      </c>
      <c r="B1008" t="str">
        <f>"02406911202"</f>
        <v>02406911202</v>
      </c>
      <c r="C1008" t="s">
        <v>13</v>
      </c>
      <c r="D1008" t="s">
        <v>30</v>
      </c>
      <c r="E1008" t="s">
        <v>1172</v>
      </c>
      <c r="F1008" t="s">
        <v>32</v>
      </c>
      <c r="G1008" t="str">
        <f>"01177620299"</f>
        <v>01177620299</v>
      </c>
      <c r="I1008" t="s">
        <v>182</v>
      </c>
      <c r="L1008" t="s">
        <v>34</v>
      </c>
      <c r="M1008">
        <v>67600</v>
      </c>
      <c r="N1008">
        <v>57600</v>
      </c>
      <c r="Q1008">
        <v>10000</v>
      </c>
      <c r="AC1008" t="s">
        <v>1173</v>
      </c>
    </row>
    <row r="1009" spans="1:29" ht="12.75">
      <c r="A1009" t="str">
        <f>"6916340851"</f>
        <v>6916340851</v>
      </c>
      <c r="B1009" t="str">
        <f>"02406911202"</f>
        <v>02406911202</v>
      </c>
      <c r="C1009" t="s">
        <v>13</v>
      </c>
      <c r="D1009" t="s">
        <v>30</v>
      </c>
      <c r="E1009" t="s">
        <v>1172</v>
      </c>
      <c r="F1009" t="s">
        <v>32</v>
      </c>
      <c r="G1009" t="str">
        <f>"00474010345"</f>
        <v>00474010345</v>
      </c>
      <c r="I1009" t="s">
        <v>185</v>
      </c>
      <c r="L1009" t="s">
        <v>34</v>
      </c>
      <c r="M1009">
        <v>25433.08</v>
      </c>
      <c r="N1009">
        <v>423.25</v>
      </c>
      <c r="O1009">
        <v>17314.5</v>
      </c>
      <c r="Q1009">
        <v>7695.33</v>
      </c>
      <c r="AC1009" t="s">
        <v>1173</v>
      </c>
    </row>
    <row r="1010" spans="1:29" ht="12.75">
      <c r="A1010" t="str">
        <f>"6916357659"</f>
        <v>6916357659</v>
      </c>
      <c r="B1010" t="str">
        <f>"02406911202"</f>
        <v>02406911202</v>
      </c>
      <c r="C1010" t="s">
        <v>13</v>
      </c>
      <c r="D1010" t="s">
        <v>30</v>
      </c>
      <c r="E1010" t="s">
        <v>1172</v>
      </c>
      <c r="F1010" t="s">
        <v>32</v>
      </c>
      <c r="G1010" t="str">
        <f>"03912680372"</f>
        <v>03912680372</v>
      </c>
      <c r="I1010" t="s">
        <v>186</v>
      </c>
      <c r="L1010" t="s">
        <v>34</v>
      </c>
      <c r="M1010">
        <v>74805.67</v>
      </c>
      <c r="N1010">
        <v>8400</v>
      </c>
      <c r="O1010">
        <v>43415.67</v>
      </c>
      <c r="Q1010">
        <v>22990</v>
      </c>
      <c r="AC1010" t="s">
        <v>1173</v>
      </c>
    </row>
    <row r="1011" spans="1:29" ht="12.75">
      <c r="A1011" t="str">
        <f>"6927865F0A"</f>
        <v>6927865F0A</v>
      </c>
      <c r="B1011" t="str">
        <f>"02406911202"</f>
        <v>02406911202</v>
      </c>
      <c r="C1011" t="s">
        <v>13</v>
      </c>
      <c r="D1011" t="s">
        <v>30</v>
      </c>
      <c r="E1011" t="s">
        <v>1177</v>
      </c>
      <c r="F1011" t="s">
        <v>32</v>
      </c>
      <c r="G1011" t="str">
        <f>"07123400157"</f>
        <v>07123400157</v>
      </c>
      <c r="I1011" t="s">
        <v>245</v>
      </c>
      <c r="L1011" t="s">
        <v>34</v>
      </c>
      <c r="M1011">
        <v>740000</v>
      </c>
      <c r="N1011">
        <v>130000</v>
      </c>
      <c r="O1011">
        <v>525000</v>
      </c>
      <c r="S1011">
        <v>85000</v>
      </c>
      <c r="AC1011" t="s">
        <v>1094</v>
      </c>
    </row>
    <row r="1012" spans="1:29" ht="12.75">
      <c r="A1012" t="str">
        <f>"6841494373"</f>
        <v>6841494373</v>
      </c>
      <c r="B1012" t="str">
        <f>"02406911202"</f>
        <v>02406911202</v>
      </c>
      <c r="C1012" t="s">
        <v>13</v>
      </c>
      <c r="D1012" t="s">
        <v>30</v>
      </c>
      <c r="E1012" t="s">
        <v>1178</v>
      </c>
      <c r="F1012" t="s">
        <v>32</v>
      </c>
      <c r="G1012" t="str">
        <f>"00076670595"</f>
        <v>00076670595</v>
      </c>
      <c r="I1012" t="s">
        <v>104</v>
      </c>
      <c r="L1012" t="s">
        <v>34</v>
      </c>
      <c r="M1012">
        <v>681063</v>
      </c>
      <c r="N1012">
        <v>150000</v>
      </c>
      <c r="O1012">
        <v>531063</v>
      </c>
      <c r="AC1012" t="s">
        <v>1179</v>
      </c>
    </row>
    <row r="1013" spans="1:29" ht="12.75">
      <c r="A1013" t="str">
        <f>"6927879A99"</f>
        <v>6927879A99</v>
      </c>
      <c r="B1013" t="str">
        <f>"02406911202"</f>
        <v>02406911202</v>
      </c>
      <c r="C1013" t="s">
        <v>13</v>
      </c>
      <c r="D1013" t="s">
        <v>30</v>
      </c>
      <c r="E1013" t="s">
        <v>1180</v>
      </c>
      <c r="F1013" t="s">
        <v>32</v>
      </c>
      <c r="G1013" t="str">
        <f>"02845340963"</f>
        <v>02845340963</v>
      </c>
      <c r="I1013" t="s">
        <v>391</v>
      </c>
      <c r="L1013" t="s">
        <v>34</v>
      </c>
      <c r="M1013">
        <v>100000</v>
      </c>
      <c r="O1013">
        <v>100000</v>
      </c>
      <c r="AC1013" t="s">
        <v>1094</v>
      </c>
    </row>
    <row r="1014" spans="1:29" ht="12.75">
      <c r="A1014" t="str">
        <f>"6841503ADE"</f>
        <v>6841503ADE</v>
      </c>
      <c r="B1014" t="str">
        <f>"02406911202"</f>
        <v>02406911202</v>
      </c>
      <c r="C1014" t="s">
        <v>13</v>
      </c>
      <c r="D1014" t="s">
        <v>30</v>
      </c>
      <c r="E1014" t="s">
        <v>1178</v>
      </c>
      <c r="F1014" t="s">
        <v>32</v>
      </c>
      <c r="G1014" t="str">
        <f>"11206730159"</f>
        <v>11206730159</v>
      </c>
      <c r="I1014" t="s">
        <v>65</v>
      </c>
      <c r="L1014" t="s">
        <v>34</v>
      </c>
      <c r="M1014">
        <v>493530</v>
      </c>
      <c r="N1014">
        <v>350000</v>
      </c>
      <c r="O1014">
        <v>143530</v>
      </c>
      <c r="AC1014" t="s">
        <v>1179</v>
      </c>
    </row>
    <row r="1015" spans="1:29" ht="12.75">
      <c r="A1015" t="str">
        <f>"69278946FB"</f>
        <v>69278946FB</v>
      </c>
      <c r="B1015" t="str">
        <f>"02406911202"</f>
        <v>02406911202</v>
      </c>
      <c r="C1015" t="s">
        <v>13</v>
      </c>
      <c r="D1015" t="s">
        <v>30</v>
      </c>
      <c r="E1015" t="s">
        <v>1181</v>
      </c>
      <c r="F1015" t="s">
        <v>32</v>
      </c>
      <c r="G1015" t="str">
        <f>"09238800156"</f>
        <v>09238800156</v>
      </c>
      <c r="I1015" t="s">
        <v>72</v>
      </c>
      <c r="L1015" t="s">
        <v>34</v>
      </c>
      <c r="M1015">
        <v>535000</v>
      </c>
      <c r="N1015">
        <v>15000</v>
      </c>
      <c r="O1015">
        <v>520000</v>
      </c>
      <c r="S1015">
        <v>0</v>
      </c>
      <c r="AC1015" t="s">
        <v>1094</v>
      </c>
    </row>
    <row r="1016" spans="1:29" ht="12.75">
      <c r="A1016" t="str">
        <f>"6927901CC0"</f>
        <v>6927901CC0</v>
      </c>
      <c r="B1016" t="str">
        <f>"02406911202"</f>
        <v>02406911202</v>
      </c>
      <c r="C1016" t="s">
        <v>13</v>
      </c>
      <c r="D1016" t="s">
        <v>30</v>
      </c>
      <c r="E1016" t="s">
        <v>1182</v>
      </c>
      <c r="F1016" t="s">
        <v>32</v>
      </c>
      <c r="G1016" t="str">
        <f>"01836081008"</f>
        <v>01836081008</v>
      </c>
      <c r="I1016" t="s">
        <v>1183</v>
      </c>
      <c r="L1016" t="s">
        <v>34</v>
      </c>
      <c r="M1016">
        <v>275000</v>
      </c>
      <c r="N1016">
        <v>55000</v>
      </c>
      <c r="O1016">
        <v>220000</v>
      </c>
      <c r="AC1016" t="s">
        <v>1094</v>
      </c>
    </row>
    <row r="1017" spans="1:29" ht="12.75">
      <c r="A1017" t="str">
        <f>"6841526DD8"</f>
        <v>6841526DD8</v>
      </c>
      <c r="B1017" t="str">
        <f>"02406911202"</f>
        <v>02406911202</v>
      </c>
      <c r="C1017" t="s">
        <v>13</v>
      </c>
      <c r="D1017" t="s">
        <v>30</v>
      </c>
      <c r="E1017" t="s">
        <v>1178</v>
      </c>
      <c r="F1017" t="s">
        <v>32</v>
      </c>
      <c r="G1017" t="str">
        <f>"09238800156"</f>
        <v>09238800156</v>
      </c>
      <c r="I1017" t="s">
        <v>72</v>
      </c>
      <c r="L1017" t="s">
        <v>34</v>
      </c>
      <c r="M1017">
        <v>105097</v>
      </c>
      <c r="N1017">
        <v>100000</v>
      </c>
      <c r="O1017">
        <v>5097</v>
      </c>
      <c r="AC1017" t="s">
        <v>1179</v>
      </c>
    </row>
    <row r="1018" spans="1:29" ht="12.75">
      <c r="A1018" t="str">
        <f>"6927923EE7"</f>
        <v>6927923EE7</v>
      </c>
      <c r="B1018" t="str">
        <f>"02406911202"</f>
        <v>02406911202</v>
      </c>
      <c r="C1018" t="s">
        <v>13</v>
      </c>
      <c r="D1018" t="s">
        <v>30</v>
      </c>
      <c r="E1018" t="s">
        <v>1184</v>
      </c>
      <c r="F1018" t="s">
        <v>32</v>
      </c>
      <c r="G1018" t="str">
        <f>"03748120155"</f>
        <v>03748120155</v>
      </c>
      <c r="I1018" t="s">
        <v>393</v>
      </c>
      <c r="L1018" t="s">
        <v>34</v>
      </c>
      <c r="M1018">
        <v>355000</v>
      </c>
      <c r="O1018">
        <v>200000</v>
      </c>
      <c r="S1018">
        <v>155000</v>
      </c>
      <c r="AC1018" t="s">
        <v>1094</v>
      </c>
    </row>
    <row r="1019" spans="1:29" ht="12.75">
      <c r="A1019" t="str">
        <f>"68415100A8"</f>
        <v>68415100A8</v>
      </c>
      <c r="B1019" t="str">
        <f>"02406911202"</f>
        <v>02406911202</v>
      </c>
      <c r="C1019" t="s">
        <v>13</v>
      </c>
      <c r="D1019" t="s">
        <v>30</v>
      </c>
      <c r="E1019" t="s">
        <v>1178</v>
      </c>
      <c r="F1019" t="s">
        <v>32</v>
      </c>
      <c r="G1019" t="str">
        <f>"04094700376"</f>
        <v>04094700376</v>
      </c>
      <c r="I1019" t="s">
        <v>1185</v>
      </c>
      <c r="L1019" t="s">
        <v>34</v>
      </c>
      <c r="M1019">
        <v>14940</v>
      </c>
      <c r="O1019">
        <v>14940</v>
      </c>
      <c r="AC1019" t="s">
        <v>1179</v>
      </c>
    </row>
    <row r="1020" spans="1:29" ht="12.75">
      <c r="A1020" t="str">
        <f>"6927944040"</f>
        <v>6927944040</v>
      </c>
      <c r="B1020" t="str">
        <f>"02406911202"</f>
        <v>02406911202</v>
      </c>
      <c r="C1020" t="s">
        <v>13</v>
      </c>
      <c r="D1020" t="s">
        <v>30</v>
      </c>
      <c r="E1020" t="s">
        <v>1186</v>
      </c>
      <c r="F1020" t="s">
        <v>32</v>
      </c>
      <c r="G1020" t="str">
        <f>"00420240376"</f>
        <v>00420240376</v>
      </c>
      <c r="I1020" t="s">
        <v>292</v>
      </c>
      <c r="L1020" t="s">
        <v>34</v>
      </c>
      <c r="M1020">
        <v>90000</v>
      </c>
      <c r="O1020">
        <v>90000</v>
      </c>
      <c r="AC1020" t="s">
        <v>1094</v>
      </c>
    </row>
    <row r="1021" spans="1:29" ht="12.75">
      <c r="A1021" t="str">
        <f>"6902579C60"</f>
        <v>6902579C60</v>
      </c>
      <c r="B1021" t="str">
        <f>"02406911202"</f>
        <v>02406911202</v>
      </c>
      <c r="C1021" t="s">
        <v>13</v>
      </c>
      <c r="D1021" t="s">
        <v>30</v>
      </c>
      <c r="E1021" t="s">
        <v>1187</v>
      </c>
      <c r="F1021" t="s">
        <v>32</v>
      </c>
      <c r="G1021" t="str">
        <f>"07186210154"</f>
        <v>07186210154</v>
      </c>
      <c r="I1021" t="s">
        <v>1188</v>
      </c>
      <c r="L1021" t="s">
        <v>34</v>
      </c>
      <c r="M1021">
        <v>194670</v>
      </c>
      <c r="O1021">
        <v>194670</v>
      </c>
      <c r="AA1021" t="s">
        <v>816</v>
      </c>
      <c r="AB1021" t="s">
        <v>1189</v>
      </c>
      <c r="AC1021" t="s">
        <v>1190</v>
      </c>
    </row>
    <row r="1022" spans="1:29" ht="12.75">
      <c r="A1022" t="str">
        <f>"6856782B7F"</f>
        <v>6856782B7F</v>
      </c>
      <c r="B1022" t="str">
        <f>"02406911202"</f>
        <v>02406911202</v>
      </c>
      <c r="C1022" t="s">
        <v>13</v>
      </c>
      <c r="D1022" t="s">
        <v>30</v>
      </c>
      <c r="E1022" t="s">
        <v>1191</v>
      </c>
      <c r="F1022" t="s">
        <v>1192</v>
      </c>
      <c r="G1022" t="str">
        <f>"01590580443"</f>
        <v>01590580443</v>
      </c>
      <c r="I1022" t="s">
        <v>1193</v>
      </c>
      <c r="L1022" t="s">
        <v>34</v>
      </c>
      <c r="M1022">
        <v>472950</v>
      </c>
      <c r="AA1022" t="s">
        <v>66</v>
      </c>
      <c r="AB1022" t="s">
        <v>1194</v>
      </c>
      <c r="AC1022" t="s">
        <v>1045</v>
      </c>
    </row>
    <row r="1023" spans="1:29" ht="12.75">
      <c r="A1023" t="str">
        <f>"68548300AB"</f>
        <v>68548300AB</v>
      </c>
      <c r="B1023" t="str">
        <f>"02406911202"</f>
        <v>02406911202</v>
      </c>
      <c r="C1023" t="s">
        <v>13</v>
      </c>
      <c r="D1023" t="s">
        <v>30</v>
      </c>
      <c r="E1023" t="s">
        <v>1195</v>
      </c>
      <c r="F1023" t="s">
        <v>32</v>
      </c>
      <c r="G1023" t="str">
        <f>"10536710154"</f>
        <v>10536710154</v>
      </c>
      <c r="I1023" t="s">
        <v>1196</v>
      </c>
      <c r="L1023" t="s">
        <v>34</v>
      </c>
      <c r="M1023">
        <v>160380</v>
      </c>
      <c r="O1023">
        <v>160380</v>
      </c>
      <c r="AC1023" t="s">
        <v>1197</v>
      </c>
    </row>
    <row r="1024" spans="1:29" ht="12.75">
      <c r="A1024" t="str">
        <f>"6801313D07"</f>
        <v>6801313D07</v>
      </c>
      <c r="B1024" t="str">
        <f>"02406911202"</f>
        <v>02406911202</v>
      </c>
      <c r="C1024" t="s">
        <v>13</v>
      </c>
      <c r="D1024" t="s">
        <v>30</v>
      </c>
      <c r="E1024" t="s">
        <v>1198</v>
      </c>
      <c r="F1024" t="s">
        <v>32</v>
      </c>
      <c r="G1024" t="str">
        <f>"08862820969"</f>
        <v>08862820969</v>
      </c>
      <c r="I1024" t="s">
        <v>418</v>
      </c>
      <c r="L1024" t="s">
        <v>34</v>
      </c>
      <c r="M1024">
        <v>97920</v>
      </c>
      <c r="P1024">
        <v>97920</v>
      </c>
      <c r="AA1024" t="s">
        <v>816</v>
      </c>
      <c r="AB1024" t="s">
        <v>1013</v>
      </c>
      <c r="AC1024" t="s">
        <v>816</v>
      </c>
    </row>
    <row r="1025" spans="1:29" ht="12.75">
      <c r="A1025" t="str">
        <f>"67897907F4"</f>
        <v>67897907F4</v>
      </c>
      <c r="B1025" t="str">
        <f>"02406911202"</f>
        <v>02406911202</v>
      </c>
      <c r="C1025" t="s">
        <v>13</v>
      </c>
      <c r="D1025" t="s">
        <v>30</v>
      </c>
      <c r="E1025" t="s">
        <v>1199</v>
      </c>
      <c r="F1025" t="s">
        <v>188</v>
      </c>
      <c r="G1025" t="str">
        <f>"05653560960"</f>
        <v>05653560960</v>
      </c>
      <c r="I1025" t="s">
        <v>440</v>
      </c>
      <c r="L1025" t="s">
        <v>34</v>
      </c>
      <c r="M1025">
        <v>290217.76</v>
      </c>
      <c r="Q1025">
        <v>290217.76</v>
      </c>
      <c r="AC1025" t="s">
        <v>1200</v>
      </c>
    </row>
    <row r="1026" spans="1:29" ht="12.75">
      <c r="A1026" t="str">
        <f>"693062008E"</f>
        <v>693062008E</v>
      </c>
      <c r="B1026" t="str">
        <f>"02406911202"</f>
        <v>02406911202</v>
      </c>
      <c r="C1026" t="s">
        <v>13</v>
      </c>
      <c r="D1026" t="s">
        <v>30</v>
      </c>
      <c r="E1026" t="s">
        <v>1201</v>
      </c>
      <c r="F1026" t="s">
        <v>32</v>
      </c>
      <c r="G1026" t="str">
        <f>"11164410018"</f>
        <v>11164410018</v>
      </c>
      <c r="I1026" t="s">
        <v>618</v>
      </c>
      <c r="L1026" t="s">
        <v>34</v>
      </c>
      <c r="M1026">
        <v>209519.77</v>
      </c>
      <c r="N1026">
        <v>191632.84</v>
      </c>
      <c r="O1026">
        <v>9875.47</v>
      </c>
      <c r="Q1026">
        <v>8011.46</v>
      </c>
      <c r="AC1026" t="s">
        <v>1106</v>
      </c>
    </row>
    <row r="1027" spans="1:29" ht="12.75">
      <c r="A1027" t="str">
        <f>"6930632A72"</f>
        <v>6930632A72</v>
      </c>
      <c r="B1027" t="str">
        <f>"02406911202"</f>
        <v>02406911202</v>
      </c>
      <c r="C1027" t="s">
        <v>13</v>
      </c>
      <c r="D1027" t="s">
        <v>30</v>
      </c>
      <c r="E1027" t="s">
        <v>1202</v>
      </c>
      <c r="F1027" t="s">
        <v>32</v>
      </c>
      <c r="G1027" t="str">
        <f>"01250400320"</f>
        <v>01250400320</v>
      </c>
      <c r="I1027" t="s">
        <v>1203</v>
      </c>
      <c r="L1027" t="s">
        <v>34</v>
      </c>
      <c r="M1027">
        <v>51628.38</v>
      </c>
      <c r="N1027">
        <v>17471.17</v>
      </c>
      <c r="O1027">
        <v>25742.24</v>
      </c>
      <c r="Q1027">
        <v>8414.97</v>
      </c>
      <c r="AC1027" t="s">
        <v>1106</v>
      </c>
    </row>
    <row r="1028" spans="1:29" ht="12.75">
      <c r="A1028" t="str">
        <f>"6930643388"</f>
        <v>6930643388</v>
      </c>
      <c r="B1028" t="str">
        <f>"02406911202"</f>
        <v>02406911202</v>
      </c>
      <c r="C1028" t="s">
        <v>13</v>
      </c>
      <c r="D1028" t="s">
        <v>30</v>
      </c>
      <c r="E1028" t="s">
        <v>1204</v>
      </c>
      <c r="F1028" t="s">
        <v>32</v>
      </c>
      <c r="G1028" t="str">
        <f>"10209790152"</f>
        <v>10209790152</v>
      </c>
      <c r="I1028" t="s">
        <v>1090</v>
      </c>
      <c r="L1028" t="s">
        <v>34</v>
      </c>
      <c r="M1028">
        <v>39893.78</v>
      </c>
      <c r="N1028">
        <v>15533.38</v>
      </c>
      <c r="O1028">
        <v>16425.14</v>
      </c>
      <c r="Q1028">
        <v>7935.26</v>
      </c>
      <c r="AC1028" t="s">
        <v>1106</v>
      </c>
    </row>
    <row r="1029" spans="1:29" ht="12.75">
      <c r="A1029" t="str">
        <f>"693065094D"</f>
        <v>693065094D</v>
      </c>
      <c r="B1029" t="str">
        <f>"02406911202"</f>
        <v>02406911202</v>
      </c>
      <c r="C1029" t="s">
        <v>13</v>
      </c>
      <c r="D1029" t="s">
        <v>30</v>
      </c>
      <c r="E1029" t="s">
        <v>1205</v>
      </c>
      <c r="F1029" t="s">
        <v>32</v>
      </c>
      <c r="G1029" t="str">
        <f>"08056040960"</f>
        <v>08056040960</v>
      </c>
      <c r="I1029" t="s">
        <v>1206</v>
      </c>
      <c r="L1029" t="s">
        <v>34</v>
      </c>
      <c r="M1029">
        <v>16023</v>
      </c>
      <c r="N1029">
        <v>5341</v>
      </c>
      <c r="O1029">
        <v>5341</v>
      </c>
      <c r="Q1029">
        <v>5341</v>
      </c>
      <c r="AC1029" t="s">
        <v>1106</v>
      </c>
    </row>
    <row r="1030" spans="1:29" ht="12.75">
      <c r="A1030" t="str">
        <f>"6930656E3F"</f>
        <v>6930656E3F</v>
      </c>
      <c r="B1030" t="str">
        <f>"02406911202"</f>
        <v>02406911202</v>
      </c>
      <c r="C1030" t="s">
        <v>13</v>
      </c>
      <c r="D1030" t="s">
        <v>30</v>
      </c>
      <c r="E1030" t="s">
        <v>1207</v>
      </c>
      <c r="F1030" t="s">
        <v>32</v>
      </c>
      <c r="G1030" t="str">
        <f>"00317740371"</f>
        <v>00317740371</v>
      </c>
      <c r="I1030" t="s">
        <v>1208</v>
      </c>
      <c r="L1030" t="s">
        <v>34</v>
      </c>
      <c r="M1030">
        <v>8400</v>
      </c>
      <c r="N1030">
        <v>4200</v>
      </c>
      <c r="Q1030">
        <v>4200</v>
      </c>
      <c r="AC1030" t="s">
        <v>1106</v>
      </c>
    </row>
    <row r="1031" spans="1:29" ht="12.75">
      <c r="A1031" t="str">
        <f>"6930663409"</f>
        <v>6930663409</v>
      </c>
      <c r="B1031" t="str">
        <f>"02406911202"</f>
        <v>02406911202</v>
      </c>
      <c r="C1031" t="s">
        <v>13</v>
      </c>
      <c r="D1031" t="s">
        <v>30</v>
      </c>
      <c r="E1031" t="s">
        <v>1209</v>
      </c>
      <c r="F1031" t="s">
        <v>32</v>
      </c>
      <c r="G1031" t="str">
        <f>"04299410375"</f>
        <v>04299410375</v>
      </c>
      <c r="I1031" t="s">
        <v>1210</v>
      </c>
      <c r="L1031" t="s">
        <v>34</v>
      </c>
      <c r="M1031">
        <v>30228</v>
      </c>
      <c r="N1031">
        <v>24795</v>
      </c>
      <c r="Q1031">
        <v>5433</v>
      </c>
      <c r="AC1031" t="s">
        <v>1106</v>
      </c>
    </row>
    <row r="1032" spans="1:29" ht="12.75">
      <c r="A1032" t="str">
        <f>"674498380C"</f>
        <v>674498380C</v>
      </c>
      <c r="B1032" t="str">
        <f>"02406911202"</f>
        <v>02406911202</v>
      </c>
      <c r="C1032" t="s">
        <v>13</v>
      </c>
      <c r="D1032" t="s">
        <v>30</v>
      </c>
      <c r="E1032" t="s">
        <v>1211</v>
      </c>
      <c r="F1032" t="s">
        <v>32</v>
      </c>
      <c r="G1032" t="str">
        <f>"00152680203"</f>
        <v>00152680203</v>
      </c>
      <c r="I1032" t="s">
        <v>1212</v>
      </c>
      <c r="L1032" t="s">
        <v>34</v>
      </c>
      <c r="M1032">
        <v>91999.6</v>
      </c>
      <c r="N1032">
        <v>45999.8</v>
      </c>
      <c r="O1032">
        <v>45999.8</v>
      </c>
      <c r="AC1032" t="s">
        <v>1213</v>
      </c>
    </row>
    <row r="1033" spans="1:29" ht="12.75">
      <c r="A1033" t="str">
        <f>"6744988C2B"</f>
        <v>6744988C2B</v>
      </c>
      <c r="B1033" t="str">
        <f>"02406911202"</f>
        <v>02406911202</v>
      </c>
      <c r="C1033" t="s">
        <v>13</v>
      </c>
      <c r="D1033" t="s">
        <v>30</v>
      </c>
      <c r="E1033" t="s">
        <v>1214</v>
      </c>
      <c r="F1033" t="s">
        <v>32</v>
      </c>
      <c r="G1033" t="str">
        <f>"04785851009"</f>
        <v>04785851009</v>
      </c>
      <c r="I1033" t="s">
        <v>318</v>
      </c>
      <c r="L1033" t="s">
        <v>34</v>
      </c>
      <c r="M1033">
        <v>18840</v>
      </c>
      <c r="N1033">
        <v>7065</v>
      </c>
      <c r="O1033">
        <v>11775</v>
      </c>
      <c r="AC1033" t="s">
        <v>1213</v>
      </c>
    </row>
    <row r="1034" spans="1:30" ht="12.75">
      <c r="A1034" t="str">
        <f>"6744999541"</f>
        <v>6744999541</v>
      </c>
      <c r="B1034" t="str">
        <f>"02406911202"</f>
        <v>02406911202</v>
      </c>
      <c r="C1034" t="s">
        <v>13</v>
      </c>
      <c r="D1034" t="s">
        <v>30</v>
      </c>
      <c r="E1034" t="s">
        <v>1215</v>
      </c>
      <c r="F1034" t="s">
        <v>32</v>
      </c>
      <c r="AC1034" t="s">
        <v>1213</v>
      </c>
      <c r="AD1034" t="s">
        <v>1216</v>
      </c>
    </row>
    <row r="1035" spans="1:29" ht="12.75">
      <c r="A1035" t="str">
        <f>"6745008CAC"</f>
        <v>6745008CAC</v>
      </c>
      <c r="B1035" t="str">
        <f>"02406911202"</f>
        <v>02406911202</v>
      </c>
      <c r="C1035" t="s">
        <v>13</v>
      </c>
      <c r="D1035" t="s">
        <v>30</v>
      </c>
      <c r="E1035" t="s">
        <v>1217</v>
      </c>
      <c r="F1035" t="s">
        <v>32</v>
      </c>
      <c r="G1035" t="str">
        <f>"10181220152"</f>
        <v>10181220152</v>
      </c>
      <c r="I1035" t="s">
        <v>103</v>
      </c>
      <c r="L1035" t="s">
        <v>34</v>
      </c>
      <c r="M1035">
        <v>2640</v>
      </c>
      <c r="N1035">
        <v>1056</v>
      </c>
      <c r="O1035">
        <v>1584</v>
      </c>
      <c r="AC1035" t="s">
        <v>1213</v>
      </c>
    </row>
    <row r="1036" spans="1:29" ht="12.75">
      <c r="A1036" t="str">
        <f>"6905375FB4"</f>
        <v>6905375FB4</v>
      </c>
      <c r="B1036" t="str">
        <f>"02406911202"</f>
        <v>02406911202</v>
      </c>
      <c r="C1036" t="s">
        <v>13</v>
      </c>
      <c r="D1036" t="s">
        <v>30</v>
      </c>
      <c r="E1036" t="s">
        <v>1218</v>
      </c>
      <c r="F1036" t="s">
        <v>32</v>
      </c>
      <c r="G1036" t="str">
        <f>"01197540196"</f>
        <v>01197540196</v>
      </c>
      <c r="I1036" t="s">
        <v>1219</v>
      </c>
      <c r="L1036" t="s">
        <v>34</v>
      </c>
      <c r="M1036">
        <v>47870</v>
      </c>
      <c r="N1036">
        <v>32680</v>
      </c>
      <c r="P1036">
        <v>4730</v>
      </c>
      <c r="Q1036">
        <v>10460</v>
      </c>
      <c r="AC1036" t="s">
        <v>816</v>
      </c>
    </row>
    <row r="1037" spans="1:29" ht="12.75">
      <c r="A1037" t="str">
        <f>"6869999684"</f>
        <v>6869999684</v>
      </c>
      <c r="B1037" t="str">
        <f>"02406911202"</f>
        <v>02406911202</v>
      </c>
      <c r="C1037" t="s">
        <v>13</v>
      </c>
      <c r="D1037" t="s">
        <v>30</v>
      </c>
      <c r="E1037" t="s">
        <v>1220</v>
      </c>
      <c r="F1037" t="s">
        <v>32</v>
      </c>
      <c r="G1037" t="str">
        <f>"02719270239"</f>
        <v>02719270239</v>
      </c>
      <c r="I1037" t="s">
        <v>1221</v>
      </c>
      <c r="L1037" t="s">
        <v>34</v>
      </c>
      <c r="M1037">
        <v>61560</v>
      </c>
      <c r="N1037">
        <v>9720</v>
      </c>
      <c r="O1037">
        <v>51840</v>
      </c>
      <c r="AC1037" t="s">
        <v>1222</v>
      </c>
    </row>
    <row r="1038" spans="1:29" ht="12.75">
      <c r="A1038" t="str">
        <f>"688550634D"</f>
        <v>688550634D</v>
      </c>
      <c r="B1038" t="str">
        <f>"02406911202"</f>
        <v>02406911202</v>
      </c>
      <c r="C1038" t="s">
        <v>13</v>
      </c>
      <c r="D1038" t="s">
        <v>30</v>
      </c>
      <c r="E1038" t="s">
        <v>1223</v>
      </c>
      <c r="F1038" t="s">
        <v>32</v>
      </c>
      <c r="G1038" t="str">
        <f>"11636250158"</f>
        <v>11636250158</v>
      </c>
      <c r="I1038" t="s">
        <v>1224</v>
      </c>
      <c r="L1038" t="s">
        <v>34</v>
      </c>
      <c r="M1038">
        <v>328400</v>
      </c>
      <c r="N1038">
        <v>112000</v>
      </c>
      <c r="O1038">
        <v>172800</v>
      </c>
      <c r="P1038">
        <v>19200</v>
      </c>
      <c r="Q1038">
        <v>24400</v>
      </c>
      <c r="AC1038" t="s">
        <v>1225</v>
      </c>
    </row>
    <row r="1039" spans="1:29" ht="12.75">
      <c r="A1039" t="str">
        <f>"6919663E89"</f>
        <v>6919663E89</v>
      </c>
      <c r="B1039" t="str">
        <f>"02406911202"</f>
        <v>02406911202</v>
      </c>
      <c r="C1039" t="s">
        <v>13</v>
      </c>
      <c r="D1039" t="s">
        <v>30</v>
      </c>
      <c r="E1039" t="s">
        <v>1226</v>
      </c>
      <c r="F1039" t="s">
        <v>32</v>
      </c>
      <c r="G1039" t="str">
        <f>"00747880151"</f>
        <v>00747880151</v>
      </c>
      <c r="I1039" t="s">
        <v>289</v>
      </c>
      <c r="L1039" t="s">
        <v>34</v>
      </c>
      <c r="M1039">
        <v>93000</v>
      </c>
      <c r="O1039">
        <v>93000</v>
      </c>
      <c r="AA1039" t="s">
        <v>1084</v>
      </c>
      <c r="AB1039" t="s">
        <v>1227</v>
      </c>
      <c r="AC1039" t="s">
        <v>1197</v>
      </c>
    </row>
    <row r="1040" spans="1:29" ht="12.75">
      <c r="A1040" t="str">
        <f>"6808315F42"</f>
        <v>6808315F42</v>
      </c>
      <c r="B1040" t="str">
        <f>"02406911202"</f>
        <v>02406911202</v>
      </c>
      <c r="C1040" t="s">
        <v>13</v>
      </c>
      <c r="D1040" t="s">
        <v>30</v>
      </c>
      <c r="E1040" t="s">
        <v>1228</v>
      </c>
      <c r="F1040" t="s">
        <v>188</v>
      </c>
      <c r="G1040" t="str">
        <f>"04142890377"</f>
        <v>04142890377</v>
      </c>
      <c r="I1040" t="s">
        <v>1229</v>
      </c>
      <c r="L1040" t="s">
        <v>34</v>
      </c>
      <c r="M1040">
        <v>1357860</v>
      </c>
      <c r="AA1040" t="s">
        <v>1230</v>
      </c>
      <c r="AB1040" t="s">
        <v>1231</v>
      </c>
      <c r="AC1040" t="s">
        <v>1232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